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ine.sharepoint.com/teams/DOE-FederalReliefPrograms/Shared Documents/MOEquity (cleaned)/FY 22 SAU (LEA) MoEquity Survey Results/"/>
    </mc:Choice>
  </mc:AlternateContent>
  <xr:revisionPtr revIDLastSave="0" documentId="8_{DC620C34-EF7F-41EC-9252-A1F48005AD3F}" xr6:coauthVersionLast="47" xr6:coauthVersionMax="47" xr10:uidLastSave="{00000000-0000-0000-0000-000000000000}"/>
  <bookViews>
    <workbookView xWindow="29115" yWindow="450" windowWidth="28770" windowHeight="15570" xr2:uid="{A4C1C555-8769-4BA0-BE0F-F3666DC7E1B5}"/>
  </bookViews>
  <sheets>
    <sheet name="Non-excepted LEA-wide" sheetId="2" r:id="rId1"/>
    <sheet name="Non-excepted Grade-Span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3" i="2" l="1"/>
  <c r="R53" i="2"/>
  <c r="R21" i="2"/>
  <c r="O11" i="2"/>
  <c r="R11" i="2"/>
  <c r="R3" i="2"/>
  <c r="R4" i="2"/>
  <c r="R5" i="2"/>
  <c r="R6" i="2"/>
  <c r="R7" i="2"/>
  <c r="R8" i="2"/>
  <c r="R9" i="2"/>
  <c r="R10" i="2"/>
  <c r="R12" i="2"/>
  <c r="R13" i="2"/>
  <c r="R14" i="2"/>
  <c r="S14" i="2" s="1"/>
  <c r="R15" i="2"/>
  <c r="R16" i="2"/>
  <c r="R17" i="2"/>
  <c r="R18" i="2"/>
  <c r="R19" i="2"/>
  <c r="R20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O3" i="2"/>
  <c r="O4" i="2"/>
  <c r="O5" i="2"/>
  <c r="O6" i="2"/>
  <c r="O7" i="2"/>
  <c r="O8" i="2"/>
  <c r="O9" i="2"/>
  <c r="O10" i="2"/>
  <c r="O12" i="2"/>
  <c r="O13" i="2"/>
  <c r="O14" i="2"/>
  <c r="O15" i="2"/>
  <c r="S15" i="2" s="1"/>
  <c r="O16" i="2"/>
  <c r="O17" i="2"/>
  <c r="O18" i="2"/>
  <c r="O19" i="2"/>
  <c r="O20" i="2"/>
  <c r="O21" i="2"/>
  <c r="O22" i="2"/>
  <c r="O23" i="2"/>
  <c r="O24" i="2"/>
  <c r="O25" i="2"/>
  <c r="O26" i="2"/>
  <c r="O27" i="2"/>
  <c r="S27" i="2" s="1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S43" i="2" s="1"/>
  <c r="O44" i="2"/>
  <c r="O45" i="2"/>
  <c r="O46" i="2"/>
  <c r="O47" i="2"/>
  <c r="O48" i="2"/>
  <c r="O49" i="2"/>
  <c r="O50" i="2"/>
  <c r="O51" i="2"/>
  <c r="O52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Q13" i="2"/>
  <c r="Q12" i="2"/>
  <c r="P13" i="2"/>
  <c r="P12" i="2"/>
  <c r="N13" i="2"/>
  <c r="N12" i="2"/>
  <c r="M13" i="2"/>
  <c r="M12" i="2"/>
  <c r="S44" i="2"/>
  <c r="R9" i="1"/>
  <c r="R11" i="1"/>
  <c r="K8" i="1"/>
  <c r="K9" i="1"/>
  <c r="K10" i="1"/>
  <c r="K11" i="1"/>
  <c r="Q68" i="2"/>
  <c r="P68" i="2"/>
  <c r="N68" i="2"/>
  <c r="M68" i="2"/>
  <c r="Q67" i="2"/>
  <c r="P67" i="2"/>
  <c r="N67" i="2"/>
  <c r="M67" i="2"/>
  <c r="Q66" i="2"/>
  <c r="P66" i="2"/>
  <c r="N66" i="2"/>
  <c r="M66" i="2"/>
  <c r="Q65" i="2"/>
  <c r="P65" i="2"/>
  <c r="N65" i="2"/>
  <c r="M65" i="2"/>
  <c r="Q64" i="2"/>
  <c r="P64" i="2"/>
  <c r="N64" i="2"/>
  <c r="M64" i="2"/>
  <c r="Q63" i="2"/>
  <c r="P63" i="2"/>
  <c r="N63" i="2"/>
  <c r="M63" i="2"/>
  <c r="Q62" i="2"/>
  <c r="P62" i="2"/>
  <c r="N62" i="2"/>
  <c r="M62" i="2"/>
  <c r="Q61" i="2"/>
  <c r="P61" i="2"/>
  <c r="N61" i="2"/>
  <c r="M61" i="2"/>
  <c r="Q60" i="2"/>
  <c r="P60" i="2"/>
  <c r="N60" i="2"/>
  <c r="M60" i="2"/>
  <c r="Q59" i="2"/>
  <c r="P59" i="2"/>
  <c r="N59" i="2"/>
  <c r="M59" i="2"/>
  <c r="Q54" i="2"/>
  <c r="P54" i="2"/>
  <c r="N54" i="2"/>
  <c r="M54" i="2"/>
  <c r="Q53" i="2"/>
  <c r="P53" i="2"/>
  <c r="N53" i="2"/>
  <c r="M53" i="2"/>
  <c r="Q51" i="2"/>
  <c r="P51" i="2"/>
  <c r="N51" i="2"/>
  <c r="M51" i="2"/>
  <c r="Q52" i="2"/>
  <c r="P52" i="2"/>
  <c r="N52" i="2"/>
  <c r="M52" i="2"/>
  <c r="Q38" i="2"/>
  <c r="P38" i="2"/>
  <c r="N38" i="2"/>
  <c r="M38" i="2"/>
  <c r="Q37" i="2"/>
  <c r="P37" i="2"/>
  <c r="N37" i="2"/>
  <c r="M37" i="2"/>
  <c r="Q35" i="2"/>
  <c r="P35" i="2"/>
  <c r="N35" i="2"/>
  <c r="M35" i="2"/>
  <c r="Q36" i="2"/>
  <c r="P36" i="2"/>
  <c r="N36" i="2"/>
  <c r="M36" i="2"/>
  <c r="Q34" i="2"/>
  <c r="P34" i="2"/>
  <c r="N34" i="2"/>
  <c r="M34" i="2"/>
  <c r="Q32" i="2"/>
  <c r="P32" i="2"/>
  <c r="N32" i="2"/>
  <c r="M32" i="2"/>
  <c r="Q33" i="2"/>
  <c r="P33" i="2"/>
  <c r="N33" i="2"/>
  <c r="M33" i="2"/>
  <c r="Q29" i="2"/>
  <c r="P29" i="2"/>
  <c r="N29" i="2"/>
  <c r="M29" i="2"/>
  <c r="Q28" i="2"/>
  <c r="P28" i="2"/>
  <c r="N28" i="2"/>
  <c r="M28" i="2"/>
  <c r="Q24" i="2"/>
  <c r="P24" i="2"/>
  <c r="N24" i="2"/>
  <c r="M24" i="2"/>
  <c r="Q25" i="2"/>
  <c r="P25" i="2"/>
  <c r="N25" i="2"/>
  <c r="M25" i="2"/>
  <c r="Q22" i="2"/>
  <c r="P22" i="2"/>
  <c r="N22" i="2"/>
  <c r="M22" i="2"/>
  <c r="Q23" i="2"/>
  <c r="P23" i="2"/>
  <c r="N23" i="2"/>
  <c r="M23" i="2"/>
  <c r="Q21" i="2"/>
  <c r="P21" i="2"/>
  <c r="N21" i="2"/>
  <c r="M21" i="2"/>
  <c r="Q20" i="2"/>
  <c r="P20" i="2"/>
  <c r="N20" i="2"/>
  <c r="Q19" i="2"/>
  <c r="P19" i="2"/>
  <c r="N19" i="2"/>
  <c r="M19" i="2"/>
  <c r="Q18" i="2"/>
  <c r="P18" i="2"/>
  <c r="N18" i="2"/>
  <c r="M18" i="2"/>
  <c r="Q17" i="2"/>
  <c r="P17" i="2"/>
  <c r="N17" i="2"/>
  <c r="M17" i="2"/>
  <c r="Q16" i="2"/>
  <c r="P16" i="2"/>
  <c r="N16" i="2"/>
  <c r="M16" i="2"/>
  <c r="Q10" i="2"/>
  <c r="P10" i="2"/>
  <c r="N10" i="2"/>
  <c r="M10" i="2"/>
  <c r="Q11" i="2"/>
  <c r="P11" i="2"/>
  <c r="N11" i="2"/>
  <c r="M11" i="2"/>
  <c r="Q5" i="2"/>
  <c r="P5" i="2"/>
  <c r="N5" i="2"/>
  <c r="M5" i="2"/>
  <c r="Q4" i="2"/>
  <c r="P4" i="2"/>
  <c r="N4" i="2"/>
  <c r="M4" i="2"/>
  <c r="R2" i="2"/>
  <c r="O2" i="2"/>
  <c r="K2" i="2"/>
  <c r="H2" i="2"/>
  <c r="S26" i="2" l="1"/>
  <c r="L2" i="2"/>
  <c r="S40" i="2"/>
  <c r="S48" i="2"/>
  <c r="S7" i="2"/>
  <c r="S20" i="2"/>
  <c r="S8" i="2"/>
  <c r="S12" i="2"/>
  <c r="S31" i="2"/>
  <c r="S47" i="2"/>
  <c r="L61" i="2"/>
  <c r="L45" i="2"/>
  <c r="L41" i="2"/>
  <c r="L29" i="2"/>
  <c r="L25" i="2"/>
  <c r="L13" i="2"/>
  <c r="L9" i="2"/>
  <c r="S67" i="2"/>
  <c r="S63" i="2"/>
  <c r="S59" i="2"/>
  <c r="S55" i="2"/>
  <c r="S39" i="2"/>
  <c r="S3" i="2"/>
  <c r="S68" i="2"/>
  <c r="S64" i="2"/>
  <c r="S60" i="2"/>
  <c r="S56" i="2"/>
  <c r="L67" i="2"/>
  <c r="L63" i="2"/>
  <c r="L59" i="2"/>
  <c r="L51" i="2"/>
  <c r="L47" i="2"/>
  <c r="L43" i="2"/>
  <c r="L35" i="2"/>
  <c r="L31" i="2"/>
  <c r="L27" i="2"/>
  <c r="L19" i="2"/>
  <c r="L15" i="2"/>
  <c r="L11" i="2"/>
  <c r="L3" i="2"/>
  <c r="L68" i="2"/>
  <c r="L64" i="2"/>
  <c r="L56" i="2"/>
  <c r="L52" i="2"/>
  <c r="L48" i="2"/>
  <c r="L40" i="2"/>
  <c r="L36" i="2"/>
  <c r="L32" i="2"/>
  <c r="L24" i="2"/>
  <c r="L20" i="2"/>
  <c r="L16" i="2"/>
  <c r="L8" i="2"/>
  <c r="L4" i="2"/>
  <c r="L57" i="2"/>
  <c r="L55" i="2"/>
  <c r="L39" i="2"/>
  <c r="L23" i="2"/>
  <c r="L7" i="2"/>
  <c r="L60" i="2"/>
  <c r="L44" i="2"/>
  <c r="L28" i="2"/>
  <c r="L12" i="2"/>
  <c r="L65" i="2"/>
  <c r="L53" i="2"/>
  <c r="L49" i="2"/>
  <c r="L37" i="2"/>
  <c r="L33" i="2"/>
  <c r="L21" i="2"/>
  <c r="L17" i="2"/>
  <c r="L5" i="2"/>
  <c r="L62" i="2"/>
  <c r="L54" i="2"/>
  <c r="L42" i="2"/>
  <c r="L10" i="2"/>
  <c r="S66" i="2"/>
  <c r="S62" i="2"/>
  <c r="S58" i="2"/>
  <c r="S50" i="2"/>
  <c r="S46" i="2"/>
  <c r="S42" i="2"/>
  <c r="S30" i="2"/>
  <c r="S6" i="2"/>
  <c r="L66" i="2"/>
  <c r="L58" i="2"/>
  <c r="L50" i="2"/>
  <c r="L46" i="2"/>
  <c r="L38" i="2"/>
  <c r="L34" i="2"/>
  <c r="L30" i="2"/>
  <c r="L26" i="2"/>
  <c r="L22" i="2"/>
  <c r="L18" i="2"/>
  <c r="L14" i="2"/>
  <c r="L6" i="2"/>
  <c r="S65" i="2"/>
  <c r="S61" i="2"/>
  <c r="S57" i="2"/>
  <c r="S49" i="2"/>
  <c r="S45" i="2"/>
  <c r="S41" i="2"/>
  <c r="S13" i="2"/>
  <c r="S9" i="2"/>
  <c r="S2" i="2"/>
  <c r="S4" i="2"/>
  <c r="S5" i="2"/>
  <c r="S11" i="2"/>
  <c r="S10" i="2"/>
  <c r="S16" i="2"/>
  <c r="S17" i="2"/>
  <c r="S18" i="2"/>
  <c r="S19" i="2"/>
  <c r="S21" i="2"/>
  <c r="S23" i="2"/>
  <c r="S22" i="2"/>
  <c r="S25" i="2"/>
  <c r="S24" i="2"/>
  <c r="S28" i="2"/>
  <c r="S29" i="2"/>
  <c r="S33" i="2"/>
  <c r="S32" i="2"/>
  <c r="S34" i="2"/>
  <c r="S36" i="2"/>
  <c r="S35" i="2"/>
  <c r="S37" i="2"/>
  <c r="S38" i="2"/>
  <c r="S52" i="2"/>
  <c r="S51" i="2"/>
  <c r="S53" i="2"/>
  <c r="S54" i="2"/>
  <c r="Q10" i="1"/>
  <c r="P10" i="1"/>
  <c r="H10" i="1"/>
  <c r="L10" i="1" s="1"/>
  <c r="H11" i="1"/>
  <c r="L11" i="1" s="1"/>
  <c r="H9" i="1"/>
  <c r="L9" i="1" s="1"/>
  <c r="Q6" i="1"/>
  <c r="P6" i="1"/>
  <c r="R6" i="1" s="1"/>
  <c r="N6" i="1"/>
  <c r="M6" i="1"/>
  <c r="K6" i="1"/>
  <c r="H6" i="1"/>
  <c r="L6" i="1" s="1"/>
  <c r="Q8" i="1"/>
  <c r="P8" i="1"/>
  <c r="N8" i="1"/>
  <c r="M8" i="1"/>
  <c r="H8" i="1"/>
  <c r="L8" i="1" s="1"/>
  <c r="Q7" i="1"/>
  <c r="P7" i="1"/>
  <c r="N7" i="1"/>
  <c r="M7" i="1"/>
  <c r="K7" i="1"/>
  <c r="H7" i="1"/>
  <c r="L7" i="1" s="1"/>
  <c r="Q3" i="1"/>
  <c r="P3" i="1"/>
  <c r="N3" i="1"/>
  <c r="M3" i="1"/>
  <c r="K3" i="1"/>
  <c r="H3" i="1"/>
  <c r="Q2" i="1"/>
  <c r="P2" i="1"/>
  <c r="N2" i="1"/>
  <c r="M2" i="1"/>
  <c r="K2" i="1"/>
  <c r="H2" i="1"/>
  <c r="Q4" i="1"/>
  <c r="P4" i="1"/>
  <c r="N4" i="1"/>
  <c r="M4" i="1"/>
  <c r="K4" i="1"/>
  <c r="H4" i="1"/>
  <c r="Q5" i="1"/>
  <c r="P5" i="1"/>
  <c r="N5" i="1"/>
  <c r="M5" i="1"/>
  <c r="K5" i="1"/>
  <c r="H5" i="1"/>
  <c r="R10" i="1" l="1"/>
  <c r="O6" i="1"/>
  <c r="O4" i="1"/>
  <c r="L3" i="1"/>
  <c r="R5" i="1"/>
  <c r="O3" i="1"/>
  <c r="R7" i="1"/>
  <c r="O8" i="1"/>
  <c r="O9" i="1"/>
  <c r="S9" i="1" s="1"/>
  <c r="O10" i="1"/>
  <c r="S10" i="1" s="1"/>
  <c r="R4" i="1"/>
  <c r="O2" i="1"/>
  <c r="R2" i="1"/>
  <c r="O11" i="1"/>
  <c r="S11" i="1" s="1"/>
  <c r="R8" i="1"/>
  <c r="S6" i="1"/>
  <c r="O5" i="1"/>
  <c r="L4" i="1"/>
  <c r="R3" i="1"/>
  <c r="O7" i="1"/>
  <c r="L2" i="1"/>
  <c r="L5" i="1"/>
  <c r="S8" i="1" l="1"/>
  <c r="S4" i="1"/>
  <c r="S5" i="1"/>
  <c r="S2" i="1"/>
  <c r="S3" i="1"/>
  <c r="S7" i="1"/>
</calcChain>
</file>

<file path=xl/sharedStrings.xml><?xml version="1.0" encoding="utf-8"?>
<sst xmlns="http://schemas.openxmlformats.org/spreadsheetml/2006/main" count="347" uniqueCount="164">
  <si>
    <t>NCES Code</t>
  </si>
  <si>
    <t>LEA Name</t>
  </si>
  <si>
    <t>School Name</t>
  </si>
  <si>
    <t>Grade Levels</t>
  </si>
  <si>
    <t>High Poverty School (Y/N)</t>
  </si>
  <si>
    <t>FY2021 Per-pupil Funding</t>
  </si>
  <si>
    <t>FY2022 Per-pupil Funding</t>
  </si>
  <si>
    <t>Per-pupil Funding Increase (Decrease)</t>
  </si>
  <si>
    <t>FY2021 Districtwide Per-pupil funding for all Schools in LEA</t>
  </si>
  <si>
    <t>FY2022 Districtwide Per-pupil funding for all Schools in LEA</t>
  </si>
  <si>
    <t>Districtwide LEA Per-pupil Funding Increase (Decrease)</t>
  </si>
  <si>
    <t>Maintained Fiscal Equity (T/F)</t>
  </si>
  <si>
    <t xml:space="preserve">FY2021 FTE Staffing Per-pupil </t>
  </si>
  <si>
    <t xml:space="preserve">FY2022 FTE Staffing Per-pupil </t>
  </si>
  <si>
    <t>FTE Staffing Per-pupil Change</t>
  </si>
  <si>
    <t>FY2021 Districtwide FTE Staffing Per-Pupil</t>
  </si>
  <si>
    <t xml:space="preserve">FY2022 Districtwide FTE Staffing Per-pupil </t>
  </si>
  <si>
    <t>Districtwide FTE Per-pupil Staffing Change</t>
  </si>
  <si>
    <t>Maintained Staffing Equity (Yes,No)</t>
  </si>
  <si>
    <t>Augusta Public Schools</t>
  </si>
  <si>
    <t>Farrington School</t>
  </si>
  <si>
    <t>K-6</t>
  </si>
  <si>
    <t>Yes</t>
  </si>
  <si>
    <t>Sylvio J Gilbert School</t>
  </si>
  <si>
    <t>PK-6</t>
  </si>
  <si>
    <t>Gorham Public Schools</t>
  </si>
  <si>
    <t>Great Falls Elementary School</t>
  </si>
  <si>
    <t>K-5</t>
  </si>
  <si>
    <t>Village Elementary School-Gorham</t>
  </si>
  <si>
    <t>Portland Public Schools</t>
  </si>
  <si>
    <t>Deering High School</t>
  </si>
  <si>
    <t>9-12</t>
  </si>
  <si>
    <t>East End Community School</t>
  </si>
  <si>
    <t>PK-5</t>
  </si>
  <si>
    <t>Gerald E Talbot Community School</t>
  </si>
  <si>
    <t>Howard C Reiche Community School</t>
  </si>
  <si>
    <t>RSU 01 - LKRSU</t>
  </si>
  <si>
    <t>Fisher-Mitchell School</t>
  </si>
  <si>
    <t>3-5</t>
  </si>
  <si>
    <t>Dike-Newell School</t>
  </si>
  <si>
    <t>PK-2</t>
  </si>
  <si>
    <t>RSU 02</t>
  </si>
  <si>
    <t>Richmond Middle School</t>
  </si>
  <si>
    <t>6-8</t>
  </si>
  <si>
    <t>Dresden Elementary School</t>
  </si>
  <si>
    <t>RSU 03/MSAD 03</t>
  </si>
  <si>
    <t>Mt View Elementary School</t>
  </si>
  <si>
    <t>Walker Elementary</t>
  </si>
  <si>
    <t>RSU 05</t>
  </si>
  <si>
    <t>Mast Landing School</t>
  </si>
  <si>
    <t>Morse Street School</t>
  </si>
  <si>
    <t>RSU 06/MSAD 06</t>
  </si>
  <si>
    <t>George E Jack School</t>
  </si>
  <si>
    <t>4-5</t>
  </si>
  <si>
    <t>H B Emery Jr Memorial School</t>
  </si>
  <si>
    <t>RSU 09</t>
  </si>
  <si>
    <t>*GD Cushing</t>
  </si>
  <si>
    <t>PK-1</t>
  </si>
  <si>
    <t>W G Mallett School</t>
  </si>
  <si>
    <t>RSU 10</t>
  </si>
  <si>
    <t>Mountain Valley Middle School</t>
  </si>
  <si>
    <t>5-8</t>
  </si>
  <si>
    <t>Meroby Elementary School</t>
  </si>
  <si>
    <t>PK-4</t>
  </si>
  <si>
    <t>RSU 13</t>
  </si>
  <si>
    <t>Thomaston Grammar School</t>
  </si>
  <si>
    <t>South School</t>
  </si>
  <si>
    <t>RSU 14</t>
  </si>
  <si>
    <t>Manchester School</t>
  </si>
  <si>
    <t>Jordan-Small Middle School</t>
  </si>
  <si>
    <t>RSU 15/MSAD 15</t>
  </si>
  <si>
    <t>Gray-New Gloucester Middle School</t>
  </si>
  <si>
    <t>Russell School</t>
  </si>
  <si>
    <t>K-2</t>
  </si>
  <si>
    <t>RSU 16</t>
  </si>
  <si>
    <t>Bruce M Whittier Middle School</t>
  </si>
  <si>
    <t>7-8</t>
  </si>
  <si>
    <t>Elm Street School-Mechanic Falls</t>
  </si>
  <si>
    <t>RSU 17/MSAD 17</t>
  </si>
  <si>
    <t>Oxford Hills Middle School</t>
  </si>
  <si>
    <t>Guy E Rowe School</t>
  </si>
  <si>
    <t>Paris Elementary School</t>
  </si>
  <si>
    <t>RSU 18</t>
  </si>
  <si>
    <t>Williams Elementary School</t>
  </si>
  <si>
    <t>China Middle School</t>
  </si>
  <si>
    <t>RSU 21</t>
  </si>
  <si>
    <t>*Middle School of the Kennebunks</t>
  </si>
  <si>
    <t>Mildred L Day School</t>
  </si>
  <si>
    <t>RSU 22</t>
  </si>
  <si>
    <t xml:space="preserve">Samuel L. Wagner Middle School </t>
  </si>
  <si>
    <t xml:space="preserve">Leroy S. Smith School </t>
  </si>
  <si>
    <t>RSU 38</t>
  </si>
  <si>
    <t>Mt Vernon Elementary School</t>
  </si>
  <si>
    <t>Readfield Elementary School</t>
  </si>
  <si>
    <t>RSU 40/MSAD 40</t>
  </si>
  <si>
    <t>Miller School</t>
  </si>
  <si>
    <t>Warren Community School</t>
  </si>
  <si>
    <t>RSU 49/MSAD 49</t>
  </si>
  <si>
    <t>Clinton Elementary School</t>
  </si>
  <si>
    <t>Fairfield Primary School</t>
  </si>
  <si>
    <t>PK-K</t>
  </si>
  <si>
    <t>RSU 52/MSAD 52</t>
  </si>
  <si>
    <t>Tripp Middle School</t>
  </si>
  <si>
    <t>Leeds Central School</t>
  </si>
  <si>
    <t>RSU 54/MSAD 54</t>
  </si>
  <si>
    <t>Bloomfield Elementary School</t>
  </si>
  <si>
    <t>1-3</t>
  </si>
  <si>
    <t>Canaan Elementary School</t>
  </si>
  <si>
    <t>RSU 60/MSAD 60</t>
  </si>
  <si>
    <t>Eric L Knowlton School</t>
  </si>
  <si>
    <t>*Hussey School</t>
  </si>
  <si>
    <t>K-3</t>
  </si>
  <si>
    <t>RSU 61/MSAD 61</t>
  </si>
  <si>
    <t>Lake Region High School</t>
  </si>
  <si>
    <t>Stevens Brook School</t>
  </si>
  <si>
    <t>RSU 71</t>
  </si>
  <si>
    <t>Kermit S Nickerson School</t>
  </si>
  <si>
    <t>East Belfast School</t>
  </si>
  <si>
    <t>RSU 75/MSAD 75</t>
  </si>
  <si>
    <t>Mt Ararat Middle School</t>
  </si>
  <si>
    <t>Harpswell Community School</t>
  </si>
  <si>
    <t>RSU 79/MSAD 01</t>
  </si>
  <si>
    <t>Eva Hoyt Zippel School</t>
  </si>
  <si>
    <t>Pine Street Elementary School</t>
  </si>
  <si>
    <t>Saco Public Schools</t>
  </si>
  <si>
    <t>C K Burns School</t>
  </si>
  <si>
    <t>Governor John Fairfield School</t>
  </si>
  <si>
    <t>Sanford Public Schools</t>
  </si>
  <si>
    <t>Sanford Middle School</t>
  </si>
  <si>
    <t>Sanford Pride Elementary School</t>
  </si>
  <si>
    <t>Scarborough Public Schools</t>
  </si>
  <si>
    <t>*Scarborough Middle School</t>
  </si>
  <si>
    <t>Scarborough High School</t>
  </si>
  <si>
    <t>Westbrook Public Schools</t>
  </si>
  <si>
    <t>Oxford-Cumberland Canal School</t>
  </si>
  <si>
    <t>Saccarappa School</t>
  </si>
  <si>
    <t>FY2021 Gradespan Per-pupil Funding</t>
  </si>
  <si>
    <t>FY2022 Gradespan Per-pupil Funding</t>
  </si>
  <si>
    <t>Gradespan Per-pupil Funding Increase (Decrease)</t>
  </si>
  <si>
    <t>FY2021 Gradespan Per-pupil funding for all Schools in LEA</t>
  </si>
  <si>
    <t>FY2022 Gradespan Per-pupil funding for all Schools in LEA</t>
  </si>
  <si>
    <t>Gradespan LEA Per-pupil Funding Increase (Decrease)</t>
  </si>
  <si>
    <t xml:space="preserve">Gradespan FY2021 FTE Staffing Per-pupil </t>
  </si>
  <si>
    <t xml:space="preserve">Gradespan FY2022 FTE Staffing Per-pupil </t>
  </si>
  <si>
    <t>Gradespan FTE Staffing Per-pupil Change</t>
  </si>
  <si>
    <t>FY2021 Gradespan FTE Staffing Per-Pupil</t>
  </si>
  <si>
    <t xml:space="preserve">FY2022 Gradespan FTE Staffing Per-pupil </t>
  </si>
  <si>
    <t>Gradespan FTE Per-pupil Staffing Change</t>
  </si>
  <si>
    <t>Auburn Public Schools</t>
  </si>
  <si>
    <t>Auburn Middle School</t>
  </si>
  <si>
    <t>Edward Little HS</t>
  </si>
  <si>
    <t>Walton Elementary</t>
  </si>
  <si>
    <t>Washburn Elementary</t>
  </si>
  <si>
    <t>Pk-6</t>
  </si>
  <si>
    <t>Bangor Public Schools</t>
  </si>
  <si>
    <t>Bangor High School</t>
  </si>
  <si>
    <t>Downeast School</t>
  </si>
  <si>
    <t>PK-3</t>
  </si>
  <si>
    <t>James F Doughty</t>
  </si>
  <si>
    <t>Lewiston Public Schools</t>
  </si>
  <si>
    <t>Connors Elementary School</t>
  </si>
  <si>
    <t>Lewiston High School</t>
  </si>
  <si>
    <t>Lewiston Middle School</t>
  </si>
  <si>
    <t>*High Poverty School is different than SEA indentfied High Poverty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</si>
</sst>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1" fontId="2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/>
    <xf numFmtId="1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2" fontId="2" fillId="2" borderId="1" xfId="1" applyNumberFormat="1" applyFont="1" applyFill="1" applyBorder="1" applyAlignment="1">
      <alignment horizontal="left"/>
    </xf>
    <xf numFmtId="1" fontId="3" fillId="4" borderId="3" xfId="0" applyNumberFormat="1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center" wrapText="1"/>
    </xf>
    <xf numFmtId="49" fontId="3" fillId="4" borderId="3" xfId="0" applyNumberFormat="1" applyFont="1" applyFill="1" applyBorder="1" applyAlignment="1">
      <alignment horizontal="center" wrapText="1"/>
    </xf>
    <xf numFmtId="2" fontId="3" fillId="4" borderId="3" xfId="1" applyNumberFormat="1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1" fontId="2" fillId="2" borderId="5" xfId="0" applyNumberFormat="1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2" fontId="2" fillId="2" borderId="5" xfId="0" applyNumberFormat="1" applyFont="1" applyFill="1" applyBorder="1" applyAlignment="1">
      <alignment horizontal="left"/>
    </xf>
    <xf numFmtId="1" fontId="6" fillId="2" borderId="0" xfId="0" applyNumberFormat="1" applyFont="1" applyFill="1" applyAlignment="1">
      <alignment horizontal="left"/>
    </xf>
    <xf numFmtId="164" fontId="3" fillId="4" borderId="3" xfId="1" applyNumberFormat="1" applyFont="1" applyFill="1" applyBorder="1" applyAlignment="1">
      <alignment horizontal="center" wrapText="1"/>
    </xf>
    <xf numFmtId="164" fontId="2" fillId="2" borderId="1" xfId="1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164" fontId="2" fillId="2" borderId="5" xfId="1" applyNumberFormat="1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2" fontId="3" fillId="4" borderId="3" xfId="0" applyNumberFormat="1" applyFont="1" applyFill="1" applyBorder="1" applyAlignment="1">
      <alignment horizontal="center" wrapText="1"/>
    </xf>
    <xf numFmtId="0" fontId="3" fillId="4" borderId="3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left"/>
    </xf>
    <xf numFmtId="164" fontId="2" fillId="6" borderId="1" xfId="1" applyNumberFormat="1" applyFont="1" applyFill="1" applyBorder="1" applyAlignment="1">
      <alignment horizontal="left"/>
    </xf>
    <xf numFmtId="164" fontId="2" fillId="6" borderId="5" xfId="1" applyNumberFormat="1" applyFont="1" applyFill="1" applyBorder="1" applyAlignment="1">
      <alignment horizontal="left"/>
    </xf>
    <xf numFmtId="164" fontId="4" fillId="7" borderId="1" xfId="0" applyNumberFormat="1" applyFont="1" applyFill="1" applyBorder="1" applyAlignment="1">
      <alignment horizontal="left"/>
    </xf>
    <xf numFmtId="164" fontId="2" fillId="7" borderId="1" xfId="1" applyNumberFormat="1" applyFont="1" applyFill="1" applyBorder="1" applyAlignment="1">
      <alignment horizontal="left"/>
    </xf>
    <xf numFmtId="164" fontId="2" fillId="7" borderId="1" xfId="0" applyNumberFormat="1" applyFont="1" applyFill="1" applyBorder="1" applyAlignment="1">
      <alignment horizontal="left"/>
    </xf>
    <xf numFmtId="164" fontId="2" fillId="7" borderId="5" xfId="1" applyNumberFormat="1" applyFont="1" applyFill="1" applyBorder="1" applyAlignment="1">
      <alignment horizontal="left"/>
    </xf>
    <xf numFmtId="0" fontId="2" fillId="5" borderId="1" xfId="0" applyNumberFormat="1" applyFont="1" applyFill="1" applyBorder="1" applyAlignment="1">
      <alignment horizontal="left"/>
    </xf>
    <xf numFmtId="0" fontId="2" fillId="5" borderId="5" xfId="0" applyNumberFormat="1" applyFont="1" applyFill="1" applyBorder="1" applyAlignment="1">
      <alignment horizontal="left"/>
    </xf>
    <xf numFmtId="2" fontId="2" fillId="6" borderId="1" xfId="0" applyNumberFormat="1" applyFont="1" applyFill="1" applyBorder="1" applyAlignment="1">
      <alignment horizontal="left"/>
    </xf>
    <xf numFmtId="2" fontId="2" fillId="6" borderId="5" xfId="0" applyNumberFormat="1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E2EFDA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rgb="FFDDEBF7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rgb="FFDDEBF7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E2EFDA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[$$-409]* #,##0.00_);_([$$-409]* \(#,##0.00\);_([$$-409]* &quot;-&quot;??_);_(@_)"/>
      <fill>
        <patternFill patternType="solid">
          <fgColor indexed="64"/>
          <bgColor rgb="FFDDEBF7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[$$-409]* #,##0.00_);_([$$-409]* \(#,##0.00\);_([$$-409]* &quot;-&quot;??_);_(@_)"/>
      <fill>
        <patternFill patternType="solid">
          <fgColor indexed="64"/>
          <bgColor rgb="FFDDEBF7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4" tint="0.5999938962981048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E2EFDA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rgb="FFDDEBF7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rgb="FFDDEBF7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E2EFDA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[$$-409]* #,##0.00_);_([$$-409]* \(#,##0.00\);_([$$-409]* &quot;-&quot;??_);_(@_)"/>
      <fill>
        <patternFill patternType="solid">
          <fgColor indexed="64"/>
          <bgColor rgb="FFDDEBF7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[$$-409]* #,##0.00_);_([$$-409]* \(#,##0.00\);_([$$-409]* &quot;-&quot;??_);_(@_)"/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[$$-409]* #,##0.00_);_([$$-409]* \(#,##0.00\);_([$$-409]* &quot;-&quot;??_);_(@_)"/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[$$-409]* #,##0.00_);_([$$-409]* \(#,##0.00\);_([$$-409]* &quot;-&quot;??_);_(@_)"/>
      <fill>
        <patternFill patternType="solid">
          <fgColor indexed="64"/>
          <bgColor rgb="FFDDEBF7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4" tint="0.5999938962981048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A799F5-0B58-4C09-8C00-63C07F03EB33}" name="Table13" displayName="Table13" ref="A1:S68" totalsRowShown="0" headerRowDxfId="45" dataDxfId="44" headerRowBorderDxfId="42" tableBorderDxfId="43" headerRowCellStyle="Currency">
  <autoFilter ref="A1:S68" xr:uid="{40D3B470-5F80-42F4-9C7F-007648921251}"/>
  <sortState xmlns:xlrd2="http://schemas.microsoft.com/office/spreadsheetml/2017/richdata2" ref="A2:S68">
    <sortCondition ref="B1:B68"/>
  </sortState>
  <tableColumns count="19">
    <tableColumn id="1" xr3:uid="{68C82CA0-CB89-4FAA-800D-955568F9F1A7}" name="NCES Code" dataDxfId="41"/>
    <tableColumn id="2" xr3:uid="{75D9FA91-D139-4DC5-A012-C9A24B4AF04F}" name="LEA Name" dataDxfId="40"/>
    <tableColumn id="3" xr3:uid="{546C5347-20D7-45E5-B4B7-6B621D5FBA7C}" name="School Name" dataDxfId="39"/>
    <tableColumn id="4" xr3:uid="{62BF124C-FBC0-4EBC-B0CD-D708EEF4D0F2}" name="Grade Levels" dataDxfId="38"/>
    <tableColumn id="5" xr3:uid="{95C2596B-FE6D-4484-A86A-FA0E3D44AD3A}" name="High Poverty School (Y/N)" dataDxfId="37"/>
    <tableColumn id="6" xr3:uid="{C83C1169-AA96-493B-B884-992DF2C6487B}" name="FY2021 Per-pupil Funding" dataDxfId="36" dataCellStyle="Currency"/>
    <tableColumn id="7" xr3:uid="{EC22A600-B623-4A1F-A514-52CB9989365E}" name="FY2022 Per-pupil Funding" dataDxfId="35" dataCellStyle="Currency"/>
    <tableColumn id="8" xr3:uid="{5250559A-5D83-4EA0-B47D-F92A5CA551D6}" name="Per-pupil Funding Increase (Decrease)" dataDxfId="34" dataCellStyle="Currency">
      <calculatedColumnFormula>G2-F2</calculatedColumnFormula>
    </tableColumn>
    <tableColumn id="9" xr3:uid="{7DFFF065-818F-47EF-961A-8F63779AB9AE}" name="FY2021 Districtwide Per-pupil funding for all Schools in LEA" dataDxfId="33" dataCellStyle="Currency"/>
    <tableColumn id="10" xr3:uid="{D68FA6E4-DE9F-44D3-9A61-1CB9859C5082}" name="FY2022 Districtwide Per-pupil funding for all Schools in LEA" dataDxfId="32" dataCellStyle="Currency"/>
    <tableColumn id="11" xr3:uid="{C45D012B-4BE1-4DEC-8A53-F30630EC1F78}" name="Districtwide LEA Per-pupil Funding Increase (Decrease)" dataDxfId="31" dataCellStyle="Currency">
      <calculatedColumnFormula>J2-I2</calculatedColumnFormula>
    </tableColumn>
    <tableColumn id="12" xr3:uid="{C32B1250-FC9C-4AA4-8B68-97BA998D7857}" name="Maintained Fiscal Equity (T/F)" dataDxfId="30">
      <calculatedColumnFormula>IF(AND(H2&lt;0,K2&gt;H2),"No","Yes")</calculatedColumnFormula>
    </tableColumn>
    <tableColumn id="13" xr3:uid="{73F0865E-7E19-4FA3-97A0-F165FE867CAF}" name="FY2021 FTE Staffing Per-pupil " dataDxfId="29"/>
    <tableColumn id="14" xr3:uid="{83F4CA0C-957F-4E6B-AFB6-E1459668971C}" name="FY2022 FTE Staffing Per-pupil " dataDxfId="28"/>
    <tableColumn id="15" xr3:uid="{11075769-45FD-4F2A-8132-37A5B865F37A}" name="FTE Staffing Per-pupil Change" dataDxfId="27">
      <calculatedColumnFormula>ROUND(N2,3)-ROUND(M2,3)</calculatedColumnFormula>
    </tableColumn>
    <tableColumn id="16" xr3:uid="{D08AF857-EDF0-454D-81DC-BF862D485AB5}" name="FY2021 Districtwide FTE Staffing Per-Pupil" dataDxfId="26"/>
    <tableColumn id="17" xr3:uid="{83B9CBB0-1E08-4DE5-A64D-A89EF9B1577F}" name="FY2022 Districtwide FTE Staffing Per-pupil " dataDxfId="25"/>
    <tableColumn id="18" xr3:uid="{69B67E42-3C25-4139-90D9-DA350D59BC55}" name="Districtwide FTE Per-pupil Staffing Change" dataDxfId="24">
      <calculatedColumnFormula>ROUND(Q2,3)-ROUND(P2,3)</calculatedColumnFormula>
    </tableColumn>
    <tableColumn id="19" xr3:uid="{510F2D86-8C8A-4E6D-A0CB-AE7BA19178C3}" name="Maintained Staffing Equity (Yes,No)" dataDxfId="23">
      <calculatedColumnFormula>IF(AND(O2&lt;0,R2&gt;O2),"No","Yes")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D3B470-5F80-42F4-9C7F-007648921251}" name="Table1" displayName="Table1" ref="A1:S15" totalsRowShown="0" headerRowDxfId="22" dataDxfId="21" headerRowBorderDxfId="19" tableBorderDxfId="20" headerRowCellStyle="Currency">
  <autoFilter ref="A1:S15" xr:uid="{40D3B470-5F80-42F4-9C7F-007648921251}"/>
  <tableColumns count="19">
    <tableColumn id="1" xr3:uid="{637FE4DB-3D35-46E0-A42B-0AAA0E919EF7}" name="NCES Code" dataDxfId="18"/>
    <tableColumn id="2" xr3:uid="{6CA53F22-3B2B-4869-BC79-57B794C05D78}" name="LEA Name" dataDxfId="17"/>
    <tableColumn id="3" xr3:uid="{C45E0601-FB90-4582-B01E-3D92FF4EE90A}" name="School Name" dataDxfId="16"/>
    <tableColumn id="4" xr3:uid="{CC7BF677-B210-4C13-B335-DCB0B1C0BF57}" name="Grade Levels" dataDxfId="15"/>
    <tableColumn id="5" xr3:uid="{20CD0BEC-CA92-49FB-8AB7-4ACB914ED78C}" name="High Poverty School (Y/N)" dataDxfId="14"/>
    <tableColumn id="6" xr3:uid="{87FA6D00-1E0C-44FB-9C45-43A00AC01B6F}" name="FY2021 Gradespan Per-pupil Funding" dataDxfId="13" dataCellStyle="Currency"/>
    <tableColumn id="7" xr3:uid="{15BC5C4C-9432-45A6-8B2C-064EB2212ECB}" name="FY2022 Gradespan Per-pupil Funding" dataDxfId="12" dataCellStyle="Currency"/>
    <tableColumn id="8" xr3:uid="{0E624631-3545-4695-A1D9-66DF281A1BD2}" name="Gradespan Per-pupil Funding Increase (Decrease)" dataDxfId="11" dataCellStyle="Currency">
      <calculatedColumnFormula>G2-F2</calculatedColumnFormula>
    </tableColumn>
    <tableColumn id="9" xr3:uid="{45DCAA08-E1D9-4F2A-89A2-C24167CE822F}" name="FY2021 Gradespan Per-pupil funding for all Schools in LEA" dataDxfId="10" dataCellStyle="Currency"/>
    <tableColumn id="10" xr3:uid="{50EF417F-8DDE-4F94-AF92-E599369E7DAE}" name="FY2022 Gradespan Per-pupil funding for all Schools in LEA" dataDxfId="9" dataCellStyle="Currency"/>
    <tableColumn id="11" xr3:uid="{A53BE403-8FE9-40DF-8CC4-6C28521AD68E}" name="Gradespan LEA Per-pupil Funding Increase (Decrease)" dataDxfId="8" dataCellStyle="Currency">
      <calculatedColumnFormula>J2-I2</calculatedColumnFormula>
    </tableColumn>
    <tableColumn id="12" xr3:uid="{FD8C7348-E88C-4FB0-ACE9-9F619E415E0D}" name="Maintained Fiscal Equity (T/F)" dataDxfId="7">
      <calculatedColumnFormula>IF(AND(H2&lt;0,K2&gt;H2),"No","Yes")</calculatedColumnFormula>
    </tableColumn>
    <tableColumn id="13" xr3:uid="{F86BF427-BF7D-4EAA-A3B1-239F1612D833}" name="Gradespan FY2021 FTE Staffing Per-pupil " dataDxfId="6"/>
    <tableColumn id="14" xr3:uid="{E350C153-7FCD-454F-A9E2-F10C4EA6CB50}" name="Gradespan FY2022 FTE Staffing Per-pupil " dataDxfId="5"/>
    <tableColumn id="15" xr3:uid="{AF2DF9C6-72A3-431E-BB33-F0D67195B95C}" name="Gradespan FTE Staffing Per-pupil Change" dataDxfId="4">
      <calculatedColumnFormula>ROUND(N2,2)-ROUND(M2,2)</calculatedColumnFormula>
    </tableColumn>
    <tableColumn id="16" xr3:uid="{05BF1A14-C9EA-47CF-9F8E-38D50C0F3AA9}" name="FY2021 Gradespan FTE Staffing Per-Pupil" dataDxfId="3"/>
    <tableColumn id="17" xr3:uid="{36463AD7-1F29-4DA0-AD4B-7D5AE8BC0F4E}" name="FY2022 Gradespan FTE Staffing Per-pupil " dataDxfId="2"/>
    <tableColumn id="18" xr3:uid="{57A4F453-415D-4331-9696-42252F00F028}" name="Gradespan FTE Per-pupil Staffing Change" dataDxfId="1"/>
    <tableColumn id="19" xr3:uid="{7C0B3862-58E6-4EB6-A1CF-CD5443F966C8}" name="Maintained Staffing Equity (Yes,No)" dataDxfId="0">
      <calculatedColumnFormula>IF(AND(O2&lt;0,R2&gt;O2),"No","Yes")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12020-AD42-4305-9F55-6A6E2BBBB889}">
  <sheetPr>
    <tabColor rgb="FFC00000"/>
  </sheetPr>
  <dimension ref="A1:Y68"/>
  <sheetViews>
    <sheetView tabSelected="1" zoomScale="70" zoomScaleNormal="70" workbookViewId="0">
      <pane ySplit="1" topLeftCell="A29" activePane="bottomLeft" state="frozen"/>
      <selection pane="bottomLeft" activeCell="P86" sqref="P86"/>
      <selection activeCell="I1" sqref="I1"/>
    </sheetView>
  </sheetViews>
  <sheetFormatPr defaultColWidth="12.7109375" defaultRowHeight="15"/>
  <cols>
    <col min="1" max="1" width="16.140625" style="4" customWidth="1"/>
    <col min="2" max="2" width="25.42578125" style="2" bestFit="1" customWidth="1"/>
    <col min="3" max="3" width="33.7109375" style="8" customWidth="1"/>
    <col min="4" max="4" width="12.7109375" style="5"/>
    <col min="5" max="5" width="12.7109375" style="2"/>
    <col min="6" max="6" width="22.28515625" style="27" bestFit="1" customWidth="1"/>
    <col min="7" max="7" width="22.28515625" style="30" bestFit="1" customWidth="1"/>
    <col min="8" max="8" width="15" style="27" bestFit="1" customWidth="1"/>
    <col min="9" max="9" width="22.28515625" style="30" bestFit="1" customWidth="1"/>
    <col min="10" max="10" width="22.28515625" style="27" bestFit="1" customWidth="1"/>
    <col min="11" max="11" width="15" style="27" bestFit="1" customWidth="1"/>
    <col min="12" max="12" width="12.7109375" style="33"/>
    <col min="13" max="14" width="21.140625" style="6" bestFit="1" customWidth="1"/>
    <col min="15" max="15" width="15" style="6" bestFit="1" customWidth="1"/>
    <col min="16" max="17" width="21.140625" style="6" bestFit="1" customWidth="1"/>
    <col min="18" max="18" width="15" style="6" bestFit="1" customWidth="1"/>
    <col min="19" max="19" width="12.7109375" style="2"/>
    <col min="20" max="16384" width="12.7109375" style="8"/>
  </cols>
  <sheetData>
    <row r="1" spans="1:25" s="11" customFormat="1" ht="75">
      <c r="A1" s="15" t="s">
        <v>0</v>
      </c>
      <c r="B1" s="16" t="s">
        <v>1</v>
      </c>
      <c r="C1" s="16" t="s">
        <v>2</v>
      </c>
      <c r="D1" s="17" t="s">
        <v>3</v>
      </c>
      <c r="E1" s="1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32" t="s">
        <v>11</v>
      </c>
      <c r="M1" s="31" t="s">
        <v>12</v>
      </c>
      <c r="N1" s="31" t="s">
        <v>13</v>
      </c>
      <c r="O1" s="31" t="s">
        <v>14</v>
      </c>
      <c r="P1" s="18" t="s">
        <v>15</v>
      </c>
      <c r="Q1" s="18" t="s">
        <v>16</v>
      </c>
      <c r="R1" s="18" t="s">
        <v>17</v>
      </c>
      <c r="S1" s="19" t="s">
        <v>18</v>
      </c>
    </row>
    <row r="2" spans="1:25" s="3" customFormat="1">
      <c r="A2" s="1">
        <v>230264001002</v>
      </c>
      <c r="B2" s="2" t="s">
        <v>19</v>
      </c>
      <c r="C2" s="2" t="s">
        <v>20</v>
      </c>
      <c r="D2" s="5" t="s">
        <v>21</v>
      </c>
      <c r="E2" s="2" t="s">
        <v>22</v>
      </c>
      <c r="F2" s="27">
        <v>12906</v>
      </c>
      <c r="G2" s="27">
        <v>15200.15</v>
      </c>
      <c r="H2" s="34">
        <f>G2-F2</f>
        <v>2294.1499999999996</v>
      </c>
      <c r="I2" s="36">
        <v>10533.99</v>
      </c>
      <c r="J2" s="36">
        <v>12340.77</v>
      </c>
      <c r="K2" s="34">
        <f>J2-I2</f>
        <v>1806.7800000000007</v>
      </c>
      <c r="L2" s="40" t="str">
        <f>IF(AND(H2&lt;0,K2&gt;H2),"No","Yes")</f>
        <v>Yes</v>
      </c>
      <c r="M2" s="6">
        <v>0.191</v>
      </c>
      <c r="N2" s="6">
        <v>0.20799999999999999</v>
      </c>
      <c r="O2" s="42">
        <f>ROUND(N2,3)-ROUND(M2,3)</f>
        <v>1.6999999999999987E-2</v>
      </c>
      <c r="P2" s="6">
        <v>0.13</v>
      </c>
      <c r="Q2" s="6">
        <v>0.13700000000000001</v>
      </c>
      <c r="R2" s="42">
        <f>ROUND(Q2,3)-ROUND(P2,3)</f>
        <v>7.0000000000000062E-3</v>
      </c>
      <c r="S2" s="44" t="str">
        <f t="shared" ref="S2:S65" si="0">IF(AND(O2&lt;0,R2&gt;O2),"No","Yes")</f>
        <v>Yes</v>
      </c>
    </row>
    <row r="3" spans="1:25" s="3" customFormat="1">
      <c r="A3" s="7">
        <v>230264000042</v>
      </c>
      <c r="B3" s="2" t="s">
        <v>19</v>
      </c>
      <c r="C3" s="2" t="s">
        <v>23</v>
      </c>
      <c r="D3" s="5" t="s">
        <v>24</v>
      </c>
      <c r="E3" s="2" t="s">
        <v>22</v>
      </c>
      <c r="F3" s="27">
        <v>10592.31</v>
      </c>
      <c r="G3" s="27">
        <v>11450.79</v>
      </c>
      <c r="H3" s="34">
        <f t="shared" ref="H3:H66" si="1">G3-F3</f>
        <v>858.48000000000138</v>
      </c>
      <c r="I3" s="37">
        <v>10533.99</v>
      </c>
      <c r="J3" s="37">
        <v>12340.77</v>
      </c>
      <c r="K3" s="34">
        <f t="shared" ref="K3:K66" si="2">J3-I3</f>
        <v>1806.7800000000007</v>
      </c>
      <c r="L3" s="40" t="str">
        <f t="shared" ref="L3:L65" si="3">IF(AND(H3&lt;0,K3&gt;H3),"No","Yes")</f>
        <v>Yes</v>
      </c>
      <c r="M3" s="6">
        <v>0.151</v>
      </c>
      <c r="N3" s="6">
        <v>0.16800000000000001</v>
      </c>
      <c r="O3" s="42">
        <f t="shared" ref="O3:O66" si="4">ROUND(N3,3)-ROUND(M3,3)</f>
        <v>1.7000000000000015E-2</v>
      </c>
      <c r="P3" s="6">
        <v>0.13</v>
      </c>
      <c r="Q3" s="6">
        <v>0.13700000000000001</v>
      </c>
      <c r="R3" s="42">
        <f t="shared" ref="R3:R66" si="5">ROUND(Q3,3)-ROUND(P3,3)</f>
        <v>7.0000000000000062E-3</v>
      </c>
      <c r="S3" s="44" t="str">
        <f t="shared" si="0"/>
        <v>Yes</v>
      </c>
    </row>
    <row r="4" spans="1:25" s="3" customFormat="1">
      <c r="A4" s="1">
        <v>230606023126</v>
      </c>
      <c r="B4" s="2" t="s">
        <v>25</v>
      </c>
      <c r="C4" s="2" t="s">
        <v>26</v>
      </c>
      <c r="D4" s="5" t="s">
        <v>27</v>
      </c>
      <c r="E4" s="2" t="s">
        <v>22</v>
      </c>
      <c r="F4" s="27">
        <v>11316.04</v>
      </c>
      <c r="G4" s="27">
        <v>15200.15</v>
      </c>
      <c r="H4" s="34">
        <f t="shared" si="1"/>
        <v>3884.1099999999988</v>
      </c>
      <c r="I4" s="37">
        <v>14565</v>
      </c>
      <c r="J4" s="37">
        <v>15005</v>
      </c>
      <c r="K4" s="34">
        <f t="shared" si="2"/>
        <v>440</v>
      </c>
      <c r="L4" s="40" t="str">
        <f t="shared" si="3"/>
        <v>Yes</v>
      </c>
      <c r="M4" s="6">
        <f>1/7</f>
        <v>0.14285714285714285</v>
      </c>
      <c r="N4" s="6">
        <f>1/7</f>
        <v>0.14285714285714285</v>
      </c>
      <c r="O4" s="42">
        <f t="shared" si="4"/>
        <v>0</v>
      </c>
      <c r="P4" s="6">
        <f>1/8</f>
        <v>0.125</v>
      </c>
      <c r="Q4" s="6">
        <f>1/8</f>
        <v>0.125</v>
      </c>
      <c r="R4" s="42">
        <f t="shared" si="5"/>
        <v>0</v>
      </c>
      <c r="S4" s="44" t="str">
        <f t="shared" si="0"/>
        <v>Yes</v>
      </c>
    </row>
    <row r="5" spans="1:25" s="3" customFormat="1">
      <c r="A5" s="1">
        <v>230606000160</v>
      </c>
      <c r="B5" s="10" t="s">
        <v>25</v>
      </c>
      <c r="C5" s="10" t="s">
        <v>28</v>
      </c>
      <c r="D5" s="5" t="s">
        <v>27</v>
      </c>
      <c r="E5" s="2" t="s">
        <v>22</v>
      </c>
      <c r="F5" s="28">
        <v>11167.53</v>
      </c>
      <c r="G5" s="27">
        <v>11467.96</v>
      </c>
      <c r="H5" s="34">
        <f t="shared" si="1"/>
        <v>300.42999999999847</v>
      </c>
      <c r="I5" s="37">
        <v>14565</v>
      </c>
      <c r="J5" s="37">
        <v>15005</v>
      </c>
      <c r="K5" s="34">
        <f t="shared" si="2"/>
        <v>440</v>
      </c>
      <c r="L5" s="40" t="str">
        <f t="shared" si="3"/>
        <v>Yes</v>
      </c>
      <c r="M5" s="6">
        <f>1/7</f>
        <v>0.14285714285714285</v>
      </c>
      <c r="N5" s="6">
        <f>1/7</f>
        <v>0.14285714285714285</v>
      </c>
      <c r="O5" s="42">
        <f t="shared" si="4"/>
        <v>0</v>
      </c>
      <c r="P5" s="6">
        <f>1/8</f>
        <v>0.125</v>
      </c>
      <c r="Q5" s="6">
        <f>1/8</f>
        <v>0.125</v>
      </c>
      <c r="R5" s="42">
        <f t="shared" si="5"/>
        <v>0</v>
      </c>
      <c r="S5" s="44" t="str">
        <f t="shared" si="0"/>
        <v>Yes</v>
      </c>
    </row>
    <row r="6" spans="1:25" s="2" customFormat="1">
      <c r="A6" s="1">
        <v>230993000269</v>
      </c>
      <c r="B6" s="2" t="s">
        <v>29</v>
      </c>
      <c r="C6" s="2" t="s">
        <v>30</v>
      </c>
      <c r="D6" s="5" t="s">
        <v>31</v>
      </c>
      <c r="E6" s="2" t="s">
        <v>22</v>
      </c>
      <c r="F6" s="27">
        <v>18516.96</v>
      </c>
      <c r="G6" s="27">
        <v>19613.37</v>
      </c>
      <c r="H6" s="34">
        <f t="shared" si="1"/>
        <v>1096.4099999999999</v>
      </c>
      <c r="I6" s="37">
        <v>17645.39</v>
      </c>
      <c r="J6" s="37">
        <v>18720.169999999998</v>
      </c>
      <c r="K6" s="34">
        <f t="shared" si="2"/>
        <v>1074.7799999999988</v>
      </c>
      <c r="L6" s="40" t="str">
        <f t="shared" si="3"/>
        <v>Yes</v>
      </c>
      <c r="M6" s="6">
        <v>0.14599999999999999</v>
      </c>
      <c r="N6" s="6">
        <v>0.16400000000000001</v>
      </c>
      <c r="O6" s="42">
        <f t="shared" si="4"/>
        <v>1.8000000000000016E-2</v>
      </c>
      <c r="P6" s="6">
        <v>0.18</v>
      </c>
      <c r="Q6" s="6">
        <v>0.19</v>
      </c>
      <c r="R6" s="42">
        <f t="shared" si="5"/>
        <v>1.0000000000000009E-2</v>
      </c>
      <c r="S6" s="44" t="str">
        <f t="shared" si="0"/>
        <v>Yes</v>
      </c>
      <c r="T6" s="3"/>
      <c r="U6" s="3"/>
      <c r="V6" s="3"/>
      <c r="W6" s="3"/>
      <c r="X6" s="3"/>
      <c r="Y6" s="3"/>
    </row>
    <row r="7" spans="1:25" s="2" customFormat="1">
      <c r="A7" s="1">
        <v>230993000279</v>
      </c>
      <c r="B7" s="2" t="s">
        <v>29</v>
      </c>
      <c r="C7" s="2" t="s">
        <v>32</v>
      </c>
      <c r="D7" s="5" t="s">
        <v>33</v>
      </c>
      <c r="E7" s="2" t="s">
        <v>22</v>
      </c>
      <c r="F7" s="27">
        <v>16597.84</v>
      </c>
      <c r="G7" s="27">
        <v>17295.54</v>
      </c>
      <c r="H7" s="34">
        <f t="shared" si="1"/>
        <v>697.70000000000073</v>
      </c>
      <c r="I7" s="37">
        <v>17645.39</v>
      </c>
      <c r="J7" s="37">
        <v>18720.169999999998</v>
      </c>
      <c r="K7" s="34">
        <f t="shared" si="2"/>
        <v>1074.7799999999988</v>
      </c>
      <c r="L7" s="40" t="str">
        <f t="shared" si="3"/>
        <v>Yes</v>
      </c>
      <c r="M7" s="6">
        <v>0.14899999999999999</v>
      </c>
      <c r="N7" s="6">
        <v>0.16500000000000001</v>
      </c>
      <c r="O7" s="42">
        <f t="shared" si="4"/>
        <v>1.6000000000000014E-2</v>
      </c>
      <c r="P7" s="6">
        <v>0.18</v>
      </c>
      <c r="Q7" s="6">
        <v>0.19</v>
      </c>
      <c r="R7" s="42">
        <f t="shared" si="5"/>
        <v>1.0000000000000009E-2</v>
      </c>
      <c r="S7" s="44" t="str">
        <f t="shared" si="0"/>
        <v>Yes</v>
      </c>
      <c r="T7" s="3"/>
      <c r="U7" s="3"/>
      <c r="V7" s="3"/>
      <c r="W7" s="3"/>
      <c r="X7" s="3"/>
      <c r="Y7" s="3"/>
    </row>
    <row r="8" spans="1:25" s="2" customFormat="1">
      <c r="A8" s="1">
        <v>230993000286</v>
      </c>
      <c r="B8" s="2" t="s">
        <v>29</v>
      </c>
      <c r="C8" s="2" t="s">
        <v>34</v>
      </c>
      <c r="D8" s="5" t="s">
        <v>33</v>
      </c>
      <c r="E8" s="2" t="s">
        <v>22</v>
      </c>
      <c r="F8" s="27">
        <v>20477.39</v>
      </c>
      <c r="G8" s="27">
        <v>21884.1</v>
      </c>
      <c r="H8" s="34">
        <f t="shared" si="1"/>
        <v>1406.7099999999991</v>
      </c>
      <c r="I8" s="37">
        <v>17645.39</v>
      </c>
      <c r="J8" s="37">
        <v>18720.169999999998</v>
      </c>
      <c r="K8" s="34">
        <f t="shared" si="2"/>
        <v>1074.7799999999988</v>
      </c>
      <c r="L8" s="40" t="str">
        <f t="shared" si="3"/>
        <v>Yes</v>
      </c>
      <c r="M8" s="6">
        <v>0.192</v>
      </c>
      <c r="N8" s="6">
        <v>0.214</v>
      </c>
      <c r="O8" s="42">
        <f t="shared" si="4"/>
        <v>2.1999999999999992E-2</v>
      </c>
      <c r="P8" s="6">
        <v>0.18</v>
      </c>
      <c r="Q8" s="6">
        <v>0.19</v>
      </c>
      <c r="R8" s="42">
        <f t="shared" si="5"/>
        <v>1.0000000000000009E-2</v>
      </c>
      <c r="S8" s="44" t="str">
        <f t="shared" si="0"/>
        <v>Yes</v>
      </c>
      <c r="T8" s="3"/>
      <c r="U8" s="3"/>
      <c r="V8" s="3"/>
      <c r="W8" s="3"/>
      <c r="X8" s="3"/>
      <c r="Y8" s="3"/>
    </row>
    <row r="9" spans="1:25" s="2" customFormat="1">
      <c r="A9" s="1">
        <v>230993000273</v>
      </c>
      <c r="B9" s="2" t="s">
        <v>29</v>
      </c>
      <c r="C9" s="2" t="s">
        <v>35</v>
      </c>
      <c r="D9" s="5" t="s">
        <v>33</v>
      </c>
      <c r="E9" s="2" t="s">
        <v>22</v>
      </c>
      <c r="F9" s="27">
        <v>16744.43</v>
      </c>
      <c r="G9" s="27">
        <v>17550.900000000001</v>
      </c>
      <c r="H9" s="34">
        <f t="shared" si="1"/>
        <v>806.47000000000116</v>
      </c>
      <c r="I9" s="37">
        <v>17645.39</v>
      </c>
      <c r="J9" s="37">
        <v>18720.169999999998</v>
      </c>
      <c r="K9" s="34">
        <f t="shared" si="2"/>
        <v>1074.7799999999988</v>
      </c>
      <c r="L9" s="40" t="str">
        <f t="shared" si="3"/>
        <v>Yes</v>
      </c>
      <c r="M9" s="6">
        <v>0.14099999999999999</v>
      </c>
      <c r="N9" s="6">
        <v>0.14699999999999999</v>
      </c>
      <c r="O9" s="42">
        <f t="shared" si="4"/>
        <v>6.0000000000000053E-3</v>
      </c>
      <c r="P9" s="6">
        <v>0.18</v>
      </c>
      <c r="Q9" s="6">
        <v>0.19</v>
      </c>
      <c r="R9" s="42">
        <f t="shared" si="5"/>
        <v>1.0000000000000009E-2</v>
      </c>
      <c r="S9" s="44" t="str">
        <f t="shared" si="0"/>
        <v>Yes</v>
      </c>
      <c r="T9" s="3"/>
      <c r="U9" s="3"/>
      <c r="V9" s="3"/>
      <c r="W9" s="3"/>
      <c r="X9" s="3"/>
      <c r="Y9" s="3"/>
    </row>
    <row r="10" spans="1:25" s="2" customFormat="1">
      <c r="A10" s="1">
        <v>231477200067</v>
      </c>
      <c r="B10" s="10" t="s">
        <v>36</v>
      </c>
      <c r="C10" s="10" t="s">
        <v>37</v>
      </c>
      <c r="D10" s="5" t="s">
        <v>38</v>
      </c>
      <c r="E10" s="2" t="s">
        <v>22</v>
      </c>
      <c r="F10" s="27">
        <v>18382</v>
      </c>
      <c r="G10" s="27">
        <v>20975</v>
      </c>
      <c r="H10" s="34">
        <f t="shared" si="1"/>
        <v>2593</v>
      </c>
      <c r="I10" s="37">
        <v>18662</v>
      </c>
      <c r="J10" s="37">
        <v>18888</v>
      </c>
      <c r="K10" s="34">
        <f t="shared" si="2"/>
        <v>226</v>
      </c>
      <c r="L10" s="40" t="str">
        <f t="shared" si="3"/>
        <v>Yes</v>
      </c>
      <c r="M10" s="6">
        <f>1/6.06</f>
        <v>0.16501650165016502</v>
      </c>
      <c r="N10" s="6">
        <f>1/5.1</f>
        <v>0.19607843137254904</v>
      </c>
      <c r="O10" s="42">
        <f t="shared" si="4"/>
        <v>3.1E-2</v>
      </c>
      <c r="P10" s="6">
        <f>1/5.83</f>
        <v>0.17152658662092624</v>
      </c>
      <c r="Q10" s="6">
        <f>1/5.67</f>
        <v>0.17636684303350969</v>
      </c>
      <c r="R10" s="42">
        <f t="shared" si="5"/>
        <v>4.0000000000000036E-3</v>
      </c>
      <c r="S10" s="44" t="str">
        <f t="shared" si="0"/>
        <v>Yes</v>
      </c>
      <c r="T10" s="3"/>
      <c r="U10" s="3"/>
      <c r="V10" s="3"/>
      <c r="W10" s="3"/>
      <c r="X10" s="3"/>
      <c r="Y10" s="3"/>
    </row>
    <row r="11" spans="1:25" s="2" customFormat="1">
      <c r="A11" s="1">
        <v>231477200069</v>
      </c>
      <c r="B11" s="2" t="s">
        <v>36</v>
      </c>
      <c r="C11" s="2" t="s">
        <v>39</v>
      </c>
      <c r="D11" s="5" t="s">
        <v>40</v>
      </c>
      <c r="E11" s="2" t="s">
        <v>22</v>
      </c>
      <c r="F11" s="27">
        <v>20673</v>
      </c>
      <c r="G11" s="27">
        <v>21629</v>
      </c>
      <c r="H11" s="34">
        <f t="shared" si="1"/>
        <v>956</v>
      </c>
      <c r="I11" s="37">
        <v>18662</v>
      </c>
      <c r="J11" s="37">
        <v>18888</v>
      </c>
      <c r="K11" s="34">
        <f t="shared" si="2"/>
        <v>226</v>
      </c>
      <c r="L11" s="40" t="str">
        <f t="shared" si="3"/>
        <v>Yes</v>
      </c>
      <c r="M11" s="6">
        <f>1/6.15</f>
        <v>0.16260162601626016</v>
      </c>
      <c r="N11" s="6">
        <f>1/6.33</f>
        <v>0.15797788309636651</v>
      </c>
      <c r="O11" s="42">
        <f>ROUND(N11,2)-ROUND(M11,2)</f>
        <v>0</v>
      </c>
      <c r="P11" s="6">
        <f>1/5.67</f>
        <v>0.17636684303350969</v>
      </c>
      <c r="Q11" s="6">
        <f>1/5.67</f>
        <v>0.17636684303350969</v>
      </c>
      <c r="R11" s="42">
        <f>ROUND(Q11,2)-ROUND(P11,2)</f>
        <v>0</v>
      </c>
      <c r="S11" s="44" t="str">
        <f t="shared" si="0"/>
        <v>Yes</v>
      </c>
      <c r="T11" s="3"/>
      <c r="U11" s="3"/>
      <c r="V11" s="3"/>
      <c r="W11" s="3"/>
      <c r="X11" s="3"/>
      <c r="Y11" s="3"/>
    </row>
    <row r="12" spans="1:25" s="2" customFormat="1">
      <c r="A12" s="1">
        <v>231477601008</v>
      </c>
      <c r="B12" s="2" t="s">
        <v>41</v>
      </c>
      <c r="C12" s="2" t="s">
        <v>42</v>
      </c>
      <c r="D12" s="5" t="s">
        <v>43</v>
      </c>
      <c r="E12" s="2" t="s">
        <v>22</v>
      </c>
      <c r="F12" s="27">
        <v>17106.5</v>
      </c>
      <c r="G12" s="27">
        <v>17942.05</v>
      </c>
      <c r="H12" s="34">
        <f t="shared" si="1"/>
        <v>835.54999999999927</v>
      </c>
      <c r="I12" s="37">
        <v>13354.86</v>
      </c>
      <c r="J12" s="37">
        <v>12662.85</v>
      </c>
      <c r="K12" s="34">
        <f t="shared" si="2"/>
        <v>-692.01000000000022</v>
      </c>
      <c r="L12" s="40" t="str">
        <f t="shared" si="3"/>
        <v>Yes</v>
      </c>
      <c r="M12" s="14">
        <f>1/4</f>
        <v>0.25</v>
      </c>
      <c r="N12" s="14">
        <f>1/4</f>
        <v>0.25</v>
      </c>
      <c r="O12" s="42">
        <f t="shared" si="4"/>
        <v>0</v>
      </c>
      <c r="P12" s="14">
        <f>1/5</f>
        <v>0.2</v>
      </c>
      <c r="Q12" s="14">
        <f>1/5</f>
        <v>0.2</v>
      </c>
      <c r="R12" s="42">
        <f t="shared" si="5"/>
        <v>0</v>
      </c>
      <c r="S12" s="44" t="str">
        <f t="shared" si="0"/>
        <v>Yes</v>
      </c>
      <c r="T12" s="3"/>
      <c r="U12" s="3"/>
      <c r="V12" s="3"/>
      <c r="W12" s="3"/>
      <c r="X12" s="3"/>
      <c r="Y12" s="3"/>
    </row>
    <row r="13" spans="1:25" s="2" customFormat="1">
      <c r="A13" s="7">
        <v>231477600131</v>
      </c>
      <c r="B13" s="2" t="s">
        <v>41</v>
      </c>
      <c r="C13" s="2" t="s">
        <v>44</v>
      </c>
      <c r="D13" s="5" t="s">
        <v>33</v>
      </c>
      <c r="E13" s="2" t="s">
        <v>22</v>
      </c>
      <c r="F13" s="27">
        <v>17932.509999999998</v>
      </c>
      <c r="G13" s="27">
        <v>20367.557000000001</v>
      </c>
      <c r="H13" s="34">
        <f t="shared" si="1"/>
        <v>2435.0470000000023</v>
      </c>
      <c r="I13" s="37">
        <v>13354.86</v>
      </c>
      <c r="J13" s="37">
        <v>12662.85</v>
      </c>
      <c r="K13" s="34">
        <f t="shared" si="2"/>
        <v>-692.01000000000022</v>
      </c>
      <c r="L13" s="40" t="str">
        <f t="shared" si="3"/>
        <v>Yes</v>
      </c>
      <c r="M13" s="14">
        <f>1/3</f>
        <v>0.33333333333333331</v>
      </c>
      <c r="N13" s="14">
        <f>1/3</f>
        <v>0.33333333333333331</v>
      </c>
      <c r="O13" s="42">
        <f t="shared" si="4"/>
        <v>0</v>
      </c>
      <c r="P13" s="14">
        <f>1/5</f>
        <v>0.2</v>
      </c>
      <c r="Q13" s="14">
        <f>1/5</f>
        <v>0.2</v>
      </c>
      <c r="R13" s="42">
        <f t="shared" si="5"/>
        <v>0</v>
      </c>
      <c r="S13" s="44" t="str">
        <f t="shared" si="0"/>
        <v>Yes</v>
      </c>
      <c r="T13" s="3"/>
      <c r="U13" s="3"/>
      <c r="V13" s="3"/>
      <c r="W13" s="3"/>
      <c r="X13" s="3"/>
      <c r="Y13" s="3"/>
    </row>
    <row r="14" spans="1:25" s="2" customFormat="1">
      <c r="A14" s="1">
        <v>231152000475</v>
      </c>
      <c r="B14" s="2" t="s">
        <v>45</v>
      </c>
      <c r="C14" s="2" t="s">
        <v>46</v>
      </c>
      <c r="D14" s="5" t="s">
        <v>27</v>
      </c>
      <c r="E14" s="2" t="s">
        <v>22</v>
      </c>
      <c r="F14" s="27">
        <v>12612</v>
      </c>
      <c r="G14" s="27">
        <v>13506</v>
      </c>
      <c r="H14" s="34">
        <f t="shared" si="1"/>
        <v>894</v>
      </c>
      <c r="I14" s="37">
        <v>16836</v>
      </c>
      <c r="J14" s="37">
        <v>16585</v>
      </c>
      <c r="K14" s="34">
        <f t="shared" si="2"/>
        <v>-251</v>
      </c>
      <c r="L14" s="40" t="str">
        <f t="shared" si="3"/>
        <v>Yes</v>
      </c>
      <c r="M14" s="14">
        <v>0.23</v>
      </c>
      <c r="N14" s="14">
        <v>0.25</v>
      </c>
      <c r="O14" s="42">
        <f t="shared" si="4"/>
        <v>1.999999999999999E-2</v>
      </c>
      <c r="P14" s="14">
        <v>0.25</v>
      </c>
      <c r="Q14" s="14">
        <v>0.25</v>
      </c>
      <c r="R14" s="42">
        <f t="shared" si="5"/>
        <v>0</v>
      </c>
      <c r="S14" s="44" t="str">
        <f t="shared" si="0"/>
        <v>Yes</v>
      </c>
      <c r="T14" s="3"/>
      <c r="U14" s="3"/>
      <c r="V14" s="3"/>
      <c r="W14" s="3"/>
      <c r="X14" s="3"/>
      <c r="Y14" s="3"/>
    </row>
    <row r="15" spans="1:25" s="2" customFormat="1">
      <c r="A15" s="7">
        <v>231152000477</v>
      </c>
      <c r="B15" s="2" t="s">
        <v>45</v>
      </c>
      <c r="C15" s="2" t="s">
        <v>47</v>
      </c>
      <c r="D15" s="5" t="s">
        <v>27</v>
      </c>
      <c r="E15" s="2" t="s">
        <v>22</v>
      </c>
      <c r="F15" s="27">
        <v>15400</v>
      </c>
      <c r="G15" s="27">
        <v>15401</v>
      </c>
      <c r="H15" s="34">
        <f t="shared" si="1"/>
        <v>1</v>
      </c>
      <c r="I15" s="37">
        <v>16836</v>
      </c>
      <c r="J15" s="37">
        <v>16585</v>
      </c>
      <c r="K15" s="34">
        <f t="shared" si="2"/>
        <v>-251</v>
      </c>
      <c r="L15" s="40" t="str">
        <f t="shared" si="3"/>
        <v>Yes</v>
      </c>
      <c r="M15" s="14">
        <v>0.32</v>
      </c>
      <c r="N15" s="14">
        <v>0.34</v>
      </c>
      <c r="O15" s="42">
        <f t="shared" si="4"/>
        <v>2.0000000000000018E-2</v>
      </c>
      <c r="P15" s="14">
        <v>0.25</v>
      </c>
      <c r="Q15" s="14">
        <v>0.25</v>
      </c>
      <c r="R15" s="42">
        <f t="shared" si="5"/>
        <v>0</v>
      </c>
      <c r="S15" s="44" t="str">
        <f t="shared" si="0"/>
        <v>Yes</v>
      </c>
      <c r="T15" s="3"/>
      <c r="U15" s="3"/>
      <c r="V15" s="3"/>
      <c r="W15" s="3"/>
      <c r="X15" s="3"/>
      <c r="Y15" s="3"/>
    </row>
    <row r="16" spans="1:25" s="2" customFormat="1">
      <c r="A16" s="1">
        <v>231478901044</v>
      </c>
      <c r="B16" s="2" t="s">
        <v>48</v>
      </c>
      <c r="C16" s="2" t="s">
        <v>49</v>
      </c>
      <c r="D16" s="5" t="s">
        <v>38</v>
      </c>
      <c r="E16" s="2" t="s">
        <v>22</v>
      </c>
      <c r="F16" s="27">
        <v>13429.32</v>
      </c>
      <c r="G16" s="27">
        <v>14992.06</v>
      </c>
      <c r="H16" s="34">
        <f t="shared" si="1"/>
        <v>1562.7399999999998</v>
      </c>
      <c r="I16" s="37">
        <v>14307.42</v>
      </c>
      <c r="J16" s="37">
        <v>14726.43</v>
      </c>
      <c r="K16" s="34">
        <f t="shared" si="2"/>
        <v>419.01000000000022</v>
      </c>
      <c r="L16" s="40" t="str">
        <f t="shared" si="3"/>
        <v>Yes</v>
      </c>
      <c r="M16" s="6">
        <f>51.51/238</f>
        <v>0.21642857142857141</v>
      </c>
      <c r="N16" s="6">
        <f>56.3/238</f>
        <v>0.23655462184873949</v>
      </c>
      <c r="O16" s="42">
        <f t="shared" si="4"/>
        <v>2.0999999999999991E-2</v>
      </c>
      <c r="P16" s="6">
        <f>422.5/2010</f>
        <v>0.21019900497512436</v>
      </c>
      <c r="Q16" s="6">
        <f>438.1/1951</f>
        <v>0.22455151204510509</v>
      </c>
      <c r="R16" s="42">
        <f t="shared" si="5"/>
        <v>1.5000000000000013E-2</v>
      </c>
      <c r="S16" s="44" t="str">
        <f t="shared" si="0"/>
        <v>Yes</v>
      </c>
    </row>
    <row r="17" spans="1:25" s="2" customFormat="1">
      <c r="A17" s="1">
        <v>231478900153</v>
      </c>
      <c r="B17" s="2" t="s">
        <v>48</v>
      </c>
      <c r="C17" s="2" t="s">
        <v>50</v>
      </c>
      <c r="D17" s="5" t="s">
        <v>40</v>
      </c>
      <c r="E17" s="2" t="s">
        <v>22</v>
      </c>
      <c r="F17" s="27">
        <v>11325.68</v>
      </c>
      <c r="G17" s="27">
        <v>13041.04</v>
      </c>
      <c r="H17" s="34">
        <f t="shared" si="1"/>
        <v>1715.3600000000006</v>
      </c>
      <c r="I17" s="37">
        <v>14307.42</v>
      </c>
      <c r="J17" s="37">
        <v>14726.43</v>
      </c>
      <c r="K17" s="34">
        <f t="shared" si="2"/>
        <v>419.01000000000022</v>
      </c>
      <c r="L17" s="40" t="str">
        <f t="shared" si="3"/>
        <v>Yes</v>
      </c>
      <c r="M17" s="6">
        <f>28.62/307</f>
        <v>9.3224755700325734E-2</v>
      </c>
      <c r="N17" s="6">
        <f>63.43/288</f>
        <v>0.22024305555555557</v>
      </c>
      <c r="O17" s="42">
        <f t="shared" si="4"/>
        <v>0.127</v>
      </c>
      <c r="P17" s="6">
        <f>422.5/2010</f>
        <v>0.21019900497512436</v>
      </c>
      <c r="Q17" s="6">
        <f>438.1/1951</f>
        <v>0.22455151204510509</v>
      </c>
      <c r="R17" s="42">
        <f t="shared" si="5"/>
        <v>1.5000000000000013E-2</v>
      </c>
      <c r="S17" s="44" t="str">
        <f t="shared" si="0"/>
        <v>Yes</v>
      </c>
      <c r="T17" s="3"/>
      <c r="U17" s="3"/>
      <c r="V17" s="3"/>
      <c r="W17" s="3"/>
      <c r="X17" s="3"/>
      <c r="Y17" s="3"/>
    </row>
    <row r="18" spans="1:25" s="2" customFormat="1">
      <c r="A18" s="1">
        <v>231179000535</v>
      </c>
      <c r="B18" s="2" t="s">
        <v>51</v>
      </c>
      <c r="C18" s="2" t="s">
        <v>52</v>
      </c>
      <c r="D18" s="5" t="s">
        <v>53</v>
      </c>
      <c r="E18" s="2" t="s">
        <v>22</v>
      </c>
      <c r="F18" s="27">
        <v>16010.66</v>
      </c>
      <c r="G18" s="27">
        <v>16259.61</v>
      </c>
      <c r="H18" s="34">
        <f t="shared" si="1"/>
        <v>248.95000000000073</v>
      </c>
      <c r="I18" s="37">
        <v>14409.97</v>
      </c>
      <c r="J18" s="37">
        <v>14781.8</v>
      </c>
      <c r="K18" s="34">
        <f t="shared" si="2"/>
        <v>371.82999999999993</v>
      </c>
      <c r="L18" s="40" t="str">
        <f t="shared" si="3"/>
        <v>Yes</v>
      </c>
      <c r="M18" s="6">
        <f>1/6</f>
        <v>0.16666666666666666</v>
      </c>
      <c r="N18" s="6">
        <f>1/6</f>
        <v>0.16666666666666666</v>
      </c>
      <c r="O18" s="42">
        <f t="shared" si="4"/>
        <v>0</v>
      </c>
      <c r="P18" s="6">
        <f>1/6</f>
        <v>0.16666666666666666</v>
      </c>
      <c r="Q18" s="6">
        <f>1/6</f>
        <v>0.16666666666666666</v>
      </c>
      <c r="R18" s="42">
        <f t="shared" si="5"/>
        <v>0</v>
      </c>
      <c r="S18" s="44" t="str">
        <f t="shared" si="0"/>
        <v>Yes</v>
      </c>
    </row>
    <row r="19" spans="1:25" s="2" customFormat="1">
      <c r="A19" s="1">
        <v>231179000536</v>
      </c>
      <c r="B19" s="2" t="s">
        <v>51</v>
      </c>
      <c r="C19" s="2" t="s">
        <v>54</v>
      </c>
      <c r="D19" s="5" t="s">
        <v>33</v>
      </c>
      <c r="E19" s="2" t="s">
        <v>22</v>
      </c>
      <c r="F19" s="27">
        <v>15885.17</v>
      </c>
      <c r="G19" s="27">
        <v>16049.45</v>
      </c>
      <c r="H19" s="34">
        <f t="shared" si="1"/>
        <v>164.28000000000065</v>
      </c>
      <c r="I19" s="37">
        <v>14409.97</v>
      </c>
      <c r="J19" s="37">
        <v>14781.8</v>
      </c>
      <c r="K19" s="34">
        <f t="shared" si="2"/>
        <v>371.82999999999993</v>
      </c>
      <c r="L19" s="40" t="str">
        <f t="shared" si="3"/>
        <v>Yes</v>
      </c>
      <c r="M19" s="6">
        <f>1/6</f>
        <v>0.16666666666666666</v>
      </c>
      <c r="N19" s="6">
        <f>1/5</f>
        <v>0.2</v>
      </c>
      <c r="O19" s="42">
        <f t="shared" si="4"/>
        <v>3.3000000000000002E-2</v>
      </c>
      <c r="P19" s="6">
        <f>1/6</f>
        <v>0.16666666666666666</v>
      </c>
      <c r="Q19" s="6">
        <f>1/6</f>
        <v>0.16666666666666666</v>
      </c>
      <c r="R19" s="42">
        <f t="shared" si="5"/>
        <v>0</v>
      </c>
      <c r="S19" s="44" t="str">
        <f t="shared" si="0"/>
        <v>Yes</v>
      </c>
    </row>
    <row r="20" spans="1:25" s="2" customFormat="1">
      <c r="A20" s="1">
        <v>231480900548</v>
      </c>
      <c r="B20" s="2" t="s">
        <v>55</v>
      </c>
      <c r="C20" s="2" t="s">
        <v>56</v>
      </c>
      <c r="D20" s="5" t="s">
        <v>57</v>
      </c>
      <c r="E20" s="2" t="s">
        <v>22</v>
      </c>
      <c r="F20" s="27">
        <v>9468.25</v>
      </c>
      <c r="G20" s="27">
        <v>9986.43</v>
      </c>
      <c r="H20" s="34">
        <f t="shared" si="1"/>
        <v>518.18000000000029</v>
      </c>
      <c r="I20" s="37">
        <v>13500.33</v>
      </c>
      <c r="J20" s="37">
        <v>13683.26</v>
      </c>
      <c r="K20" s="34">
        <f t="shared" si="2"/>
        <v>182.93000000000029</v>
      </c>
      <c r="L20" s="40" t="str">
        <f t="shared" si="3"/>
        <v>Yes</v>
      </c>
      <c r="M20" s="6">
        <v>0.14285714285714285</v>
      </c>
      <c r="N20" s="6">
        <f>1/6.3</f>
        <v>0.15873015873015872</v>
      </c>
      <c r="O20" s="42">
        <f t="shared" si="4"/>
        <v>1.6000000000000014E-2</v>
      </c>
      <c r="P20" s="6">
        <f>1/6.4</f>
        <v>0.15625</v>
      </c>
      <c r="Q20" s="6">
        <f>1/7</f>
        <v>0.14285714285714285</v>
      </c>
      <c r="R20" s="42">
        <f t="shared" si="5"/>
        <v>-1.3000000000000012E-2</v>
      </c>
      <c r="S20" s="44" t="str">
        <f t="shared" si="0"/>
        <v>Yes</v>
      </c>
    </row>
    <row r="21" spans="1:25" s="2" customFormat="1">
      <c r="A21" s="1">
        <v>231480900553</v>
      </c>
      <c r="B21" s="2" t="s">
        <v>55</v>
      </c>
      <c r="C21" s="2" t="s">
        <v>58</v>
      </c>
      <c r="D21" s="5" t="s">
        <v>40</v>
      </c>
      <c r="E21" s="2" t="s">
        <v>22</v>
      </c>
      <c r="F21" s="27">
        <v>9606.68</v>
      </c>
      <c r="G21" s="27">
        <v>10098.65</v>
      </c>
      <c r="H21" s="34">
        <f t="shared" si="1"/>
        <v>491.96999999999935</v>
      </c>
      <c r="I21" s="37">
        <v>13500.33</v>
      </c>
      <c r="J21" s="37">
        <v>13683.26</v>
      </c>
      <c r="K21" s="34">
        <f t="shared" si="2"/>
        <v>182.93000000000029</v>
      </c>
      <c r="L21" s="40" t="str">
        <f t="shared" si="3"/>
        <v>Yes</v>
      </c>
      <c r="M21" s="6">
        <f>1/5.7</f>
        <v>0.17543859649122806</v>
      </c>
      <c r="N21" s="6">
        <f>1/6.3</f>
        <v>0.15873015873015872</v>
      </c>
      <c r="O21" s="42">
        <f t="shared" si="4"/>
        <v>-1.5999999999999986E-2</v>
      </c>
      <c r="P21" s="6">
        <f>1/6.4</f>
        <v>0.15625</v>
      </c>
      <c r="Q21" s="6">
        <f>1/7</f>
        <v>0.14285714285714285</v>
      </c>
      <c r="R21" s="42">
        <f>ROUND(Q21,2)-ROUND(P21,2)</f>
        <v>-1.999999999999999E-2</v>
      </c>
      <c r="S21" s="44" t="str">
        <f t="shared" si="0"/>
        <v>Yes</v>
      </c>
    </row>
    <row r="22" spans="1:25" s="2" customFormat="1">
      <c r="A22" s="1">
        <v>231479500502</v>
      </c>
      <c r="B22" s="2" t="s">
        <v>59</v>
      </c>
      <c r="C22" s="2" t="s">
        <v>60</v>
      </c>
      <c r="D22" s="5" t="s">
        <v>61</v>
      </c>
      <c r="E22" s="2" t="s">
        <v>22</v>
      </c>
      <c r="F22" s="27">
        <v>15969.27</v>
      </c>
      <c r="G22" s="27">
        <v>16172.71</v>
      </c>
      <c r="H22" s="34">
        <f t="shared" si="1"/>
        <v>203.43999999999869</v>
      </c>
      <c r="I22" s="37">
        <v>19875.07</v>
      </c>
      <c r="J22" s="37">
        <v>20117.400000000001</v>
      </c>
      <c r="K22" s="34">
        <f t="shared" si="2"/>
        <v>242.33000000000175</v>
      </c>
      <c r="L22" s="40" t="str">
        <f t="shared" si="3"/>
        <v>Yes</v>
      </c>
      <c r="M22" s="6">
        <f>1/7.63</f>
        <v>0.13106159895150721</v>
      </c>
      <c r="N22" s="6">
        <f>1/5.57</f>
        <v>0.17953321364452424</v>
      </c>
      <c r="O22" s="42">
        <f t="shared" si="4"/>
        <v>4.8999999999999988E-2</v>
      </c>
      <c r="P22" s="6">
        <f>1/5.05</f>
        <v>0.19801980198019803</v>
      </c>
      <c r="Q22" s="6">
        <f>1/4.32</f>
        <v>0.23148148148148145</v>
      </c>
      <c r="R22" s="42">
        <f t="shared" si="5"/>
        <v>3.3000000000000002E-2</v>
      </c>
      <c r="S22" s="44" t="str">
        <f t="shared" si="0"/>
        <v>Yes</v>
      </c>
    </row>
    <row r="23" spans="1:25" s="2" customFormat="1">
      <c r="A23" s="1">
        <v>231479500823</v>
      </c>
      <c r="B23" s="10" t="s">
        <v>59</v>
      </c>
      <c r="C23" s="10" t="s">
        <v>62</v>
      </c>
      <c r="D23" s="5" t="s">
        <v>63</v>
      </c>
      <c r="E23" s="2" t="s">
        <v>22</v>
      </c>
      <c r="F23" s="27">
        <v>16153.91</v>
      </c>
      <c r="G23" s="27">
        <v>16614.240000000002</v>
      </c>
      <c r="H23" s="34">
        <f t="shared" si="1"/>
        <v>460.33000000000175</v>
      </c>
      <c r="I23" s="37">
        <v>19875.07</v>
      </c>
      <c r="J23" s="37">
        <v>20117.400000000001</v>
      </c>
      <c r="K23" s="34">
        <f t="shared" si="2"/>
        <v>242.33000000000175</v>
      </c>
      <c r="L23" s="40" t="str">
        <f t="shared" si="3"/>
        <v>Yes</v>
      </c>
      <c r="M23" s="6">
        <f>1/4.95</f>
        <v>0.20202020202020202</v>
      </c>
      <c r="N23" s="6">
        <f>1/4.93</f>
        <v>0.20283975659229211</v>
      </c>
      <c r="O23" s="42">
        <f t="shared" si="4"/>
        <v>1.0000000000000009E-3</v>
      </c>
      <c r="P23" s="6">
        <f>1/5.05</f>
        <v>0.19801980198019803</v>
      </c>
      <c r="Q23" s="6">
        <f>1/4.32</f>
        <v>0.23148148148148145</v>
      </c>
      <c r="R23" s="42">
        <f t="shared" si="5"/>
        <v>3.3000000000000002E-2</v>
      </c>
      <c r="S23" s="44" t="str">
        <f t="shared" si="0"/>
        <v>Yes</v>
      </c>
    </row>
    <row r="24" spans="1:25" s="2" customFormat="1" ht="16.5" customHeight="1">
      <c r="A24" s="1">
        <v>231478723157</v>
      </c>
      <c r="B24" s="2" t="s">
        <v>64</v>
      </c>
      <c r="C24" s="2" t="s">
        <v>65</v>
      </c>
      <c r="D24" s="5" t="s">
        <v>27</v>
      </c>
      <c r="E24" s="2" t="s">
        <v>22</v>
      </c>
      <c r="F24" s="27">
        <v>21227.82</v>
      </c>
      <c r="G24" s="27">
        <v>23070.44</v>
      </c>
      <c r="H24" s="34">
        <f t="shared" si="1"/>
        <v>1842.619999999999</v>
      </c>
      <c r="I24" s="37">
        <v>20195.22</v>
      </c>
      <c r="J24" s="37">
        <v>22780.959999999999</v>
      </c>
      <c r="K24" s="34">
        <f t="shared" si="2"/>
        <v>2585.739999999998</v>
      </c>
      <c r="L24" s="40" t="str">
        <f t="shared" si="3"/>
        <v>Yes</v>
      </c>
      <c r="M24" s="6">
        <f>1/3.9</f>
        <v>0.25641025641025644</v>
      </c>
      <c r="N24" s="6">
        <f>1/3</f>
        <v>0.33333333333333331</v>
      </c>
      <c r="O24" s="42">
        <f t="shared" si="4"/>
        <v>7.7000000000000013E-2</v>
      </c>
      <c r="P24" s="6">
        <f>1/5</f>
        <v>0.2</v>
      </c>
      <c r="Q24" s="6">
        <f>1/4</f>
        <v>0.25</v>
      </c>
      <c r="R24" s="42">
        <f t="shared" si="5"/>
        <v>4.9999999999999989E-2</v>
      </c>
      <c r="S24" s="44" t="str">
        <f t="shared" si="0"/>
        <v>Yes</v>
      </c>
    </row>
    <row r="25" spans="1:25" s="2" customFormat="1">
      <c r="A25" s="1">
        <v>231478700530</v>
      </c>
      <c r="B25" s="2" t="s">
        <v>64</v>
      </c>
      <c r="C25" s="2" t="s">
        <v>66</v>
      </c>
      <c r="D25" s="5" t="s">
        <v>33</v>
      </c>
      <c r="E25" s="2" t="s">
        <v>22</v>
      </c>
      <c r="F25" s="27">
        <v>22195.63</v>
      </c>
      <c r="G25" s="27">
        <v>24374.6</v>
      </c>
      <c r="H25" s="34">
        <f t="shared" si="1"/>
        <v>2178.9699999999975</v>
      </c>
      <c r="I25" s="37">
        <v>20195.22</v>
      </c>
      <c r="J25" s="37">
        <v>22780.959999999999</v>
      </c>
      <c r="K25" s="34">
        <f t="shared" si="2"/>
        <v>2585.739999999998</v>
      </c>
      <c r="L25" s="40" t="str">
        <f t="shared" si="3"/>
        <v>Yes</v>
      </c>
      <c r="M25" s="6">
        <f>1/4.2</f>
        <v>0.23809523809523808</v>
      </c>
      <c r="N25" s="6">
        <f>1/3.9</f>
        <v>0.25641025641025644</v>
      </c>
      <c r="O25" s="42">
        <f t="shared" si="4"/>
        <v>1.8000000000000016E-2</v>
      </c>
      <c r="P25" s="6">
        <f>1/5</f>
        <v>0.2</v>
      </c>
      <c r="Q25" s="6">
        <f>1/4</f>
        <v>0.25</v>
      </c>
      <c r="R25" s="42">
        <f t="shared" si="5"/>
        <v>4.9999999999999989E-2</v>
      </c>
      <c r="S25" s="44" t="str">
        <f t="shared" si="0"/>
        <v>Yes</v>
      </c>
    </row>
    <row r="26" spans="1:25" s="2" customFormat="1">
      <c r="A26" s="1">
        <v>231479300631</v>
      </c>
      <c r="B26" s="2" t="s">
        <v>67</v>
      </c>
      <c r="C26" s="2" t="s">
        <v>68</v>
      </c>
      <c r="D26" s="5" t="s">
        <v>53</v>
      </c>
      <c r="E26" s="2" t="s">
        <v>22</v>
      </c>
      <c r="F26" s="27">
        <v>16402.18</v>
      </c>
      <c r="G26" s="27">
        <v>16849.419999999998</v>
      </c>
      <c r="H26" s="34">
        <f t="shared" si="1"/>
        <v>447.23999999999796</v>
      </c>
      <c r="I26" s="37">
        <v>13997.17</v>
      </c>
      <c r="J26" s="37">
        <v>15121.98</v>
      </c>
      <c r="K26" s="34">
        <f t="shared" si="2"/>
        <v>1124.8099999999995</v>
      </c>
      <c r="L26" s="40" t="str">
        <f t="shared" si="3"/>
        <v>Yes</v>
      </c>
      <c r="M26" s="14">
        <v>0.2</v>
      </c>
      <c r="N26" s="14">
        <v>0.2</v>
      </c>
      <c r="O26" s="42">
        <f t="shared" si="4"/>
        <v>0</v>
      </c>
      <c r="P26" s="14">
        <v>0.17</v>
      </c>
      <c r="Q26" s="14">
        <v>0.17</v>
      </c>
      <c r="R26" s="42">
        <f t="shared" si="5"/>
        <v>0</v>
      </c>
      <c r="S26" s="44" t="str">
        <f t="shared" si="0"/>
        <v>Yes</v>
      </c>
      <c r="T26" s="8"/>
      <c r="U26" s="8"/>
      <c r="V26" s="8"/>
      <c r="W26" s="8"/>
      <c r="X26" s="8"/>
      <c r="Y26" s="8"/>
    </row>
    <row r="27" spans="1:25" s="2" customFormat="1">
      <c r="A27" s="1">
        <v>231479300292</v>
      </c>
      <c r="B27" s="2" t="s">
        <v>67</v>
      </c>
      <c r="C27" s="2" t="s">
        <v>69</v>
      </c>
      <c r="D27" s="5" t="s">
        <v>61</v>
      </c>
      <c r="E27" s="2" t="s">
        <v>22</v>
      </c>
      <c r="F27" s="27">
        <v>22685.1</v>
      </c>
      <c r="G27" s="27">
        <v>27678.880000000001</v>
      </c>
      <c r="H27" s="34">
        <f t="shared" si="1"/>
        <v>4993.7800000000025</v>
      </c>
      <c r="I27" s="37">
        <v>13997.98</v>
      </c>
      <c r="J27" s="37">
        <v>15121.98</v>
      </c>
      <c r="K27" s="34">
        <f t="shared" si="2"/>
        <v>1124</v>
      </c>
      <c r="L27" s="40" t="str">
        <f t="shared" si="3"/>
        <v>Yes</v>
      </c>
      <c r="M27" s="14">
        <v>0.25</v>
      </c>
      <c r="N27" s="14">
        <v>0.28999999999999998</v>
      </c>
      <c r="O27" s="42">
        <f t="shared" si="4"/>
        <v>3.999999999999998E-2</v>
      </c>
      <c r="P27" s="14">
        <v>0.17</v>
      </c>
      <c r="Q27" s="14">
        <v>0.17</v>
      </c>
      <c r="R27" s="42">
        <f t="shared" si="5"/>
        <v>0</v>
      </c>
      <c r="S27" s="44" t="str">
        <f t="shared" si="0"/>
        <v>Yes</v>
      </c>
      <c r="T27" s="8"/>
      <c r="U27" s="8"/>
      <c r="V27" s="8"/>
      <c r="W27" s="8"/>
      <c r="X27" s="8"/>
      <c r="Y27" s="8"/>
    </row>
    <row r="28" spans="1:25" s="2" customFormat="1">
      <c r="A28" s="1">
        <v>231071001019</v>
      </c>
      <c r="B28" s="2" t="s">
        <v>70</v>
      </c>
      <c r="C28" s="9" t="s">
        <v>71</v>
      </c>
      <c r="D28" s="5" t="s">
        <v>61</v>
      </c>
      <c r="E28" s="2" t="s">
        <v>22</v>
      </c>
      <c r="F28" s="27">
        <v>12339.16</v>
      </c>
      <c r="G28" s="27">
        <v>12886.09</v>
      </c>
      <c r="H28" s="34">
        <f t="shared" si="1"/>
        <v>546.93000000000029</v>
      </c>
      <c r="I28" s="37">
        <v>12183.63</v>
      </c>
      <c r="J28" s="37">
        <v>12218.45</v>
      </c>
      <c r="K28" s="34">
        <f t="shared" si="2"/>
        <v>34.820000000001528</v>
      </c>
      <c r="L28" s="40" t="str">
        <f t="shared" si="3"/>
        <v>Yes</v>
      </c>
      <c r="M28" s="6">
        <f>1/7.9</f>
        <v>0.12658227848101264</v>
      </c>
      <c r="N28" s="6">
        <f>1/7.8</f>
        <v>0.12820512820512822</v>
      </c>
      <c r="O28" s="42">
        <f t="shared" si="4"/>
        <v>1.0000000000000009E-3</v>
      </c>
      <c r="P28" s="6">
        <f>1/6.7</f>
        <v>0.14925373134328357</v>
      </c>
      <c r="Q28" s="6">
        <f>1/6.9</f>
        <v>0.14492753623188406</v>
      </c>
      <c r="R28" s="42">
        <f t="shared" si="5"/>
        <v>-4.0000000000000036E-3</v>
      </c>
      <c r="S28" s="44" t="str">
        <f t="shared" si="0"/>
        <v>Yes</v>
      </c>
    </row>
    <row r="29" spans="1:25" s="2" customFormat="1">
      <c r="A29" s="1">
        <v>231071000348</v>
      </c>
      <c r="B29" s="2" t="s">
        <v>70</v>
      </c>
      <c r="C29" s="9" t="s">
        <v>72</v>
      </c>
      <c r="D29" s="5" t="s">
        <v>73</v>
      </c>
      <c r="E29" s="2" t="s">
        <v>22</v>
      </c>
      <c r="F29" s="27">
        <v>12907.47</v>
      </c>
      <c r="G29" s="27">
        <v>15348.69</v>
      </c>
      <c r="H29" s="34">
        <f t="shared" si="1"/>
        <v>2441.2200000000012</v>
      </c>
      <c r="I29" s="37">
        <v>12183.63</v>
      </c>
      <c r="J29" s="37">
        <v>12218.45</v>
      </c>
      <c r="K29" s="34">
        <f t="shared" si="2"/>
        <v>34.820000000001528</v>
      </c>
      <c r="L29" s="40" t="str">
        <f t="shared" si="3"/>
        <v>Yes</v>
      </c>
      <c r="M29" s="6">
        <f>1/5.5</f>
        <v>0.18181818181818182</v>
      </c>
      <c r="N29" s="6">
        <f>1/4.8</f>
        <v>0.20833333333333334</v>
      </c>
      <c r="O29" s="42">
        <f t="shared" si="4"/>
        <v>2.5999999999999995E-2</v>
      </c>
      <c r="P29" s="6">
        <f>1/6.7</f>
        <v>0.14925373134328357</v>
      </c>
      <c r="Q29" s="6">
        <f>1/6.9</f>
        <v>0.14492753623188406</v>
      </c>
      <c r="R29" s="42">
        <f t="shared" si="5"/>
        <v>-4.0000000000000036E-3</v>
      </c>
      <c r="S29" s="44" t="str">
        <f t="shared" si="0"/>
        <v>Yes</v>
      </c>
    </row>
    <row r="30" spans="1:25" s="2" customFormat="1">
      <c r="A30" s="1">
        <v>231477500438</v>
      </c>
      <c r="B30" s="2" t="s">
        <v>74</v>
      </c>
      <c r="C30" s="9" t="s">
        <v>75</v>
      </c>
      <c r="D30" s="5" t="s">
        <v>76</v>
      </c>
      <c r="E30" s="2" t="s">
        <v>22</v>
      </c>
      <c r="F30" s="27">
        <v>14715.41</v>
      </c>
      <c r="G30" s="27">
        <v>14555.78</v>
      </c>
      <c r="H30" s="34">
        <f t="shared" si="1"/>
        <v>-159.6299999999992</v>
      </c>
      <c r="I30" s="37">
        <v>80221.89</v>
      </c>
      <c r="J30" s="37">
        <v>79280.899999999994</v>
      </c>
      <c r="K30" s="34">
        <f t="shared" si="2"/>
        <v>-940.99000000000524</v>
      </c>
      <c r="L30" s="40" t="str">
        <f t="shared" si="3"/>
        <v>Yes</v>
      </c>
      <c r="M30" s="6">
        <v>0.17182</v>
      </c>
      <c r="N30" s="6">
        <v>0.16993</v>
      </c>
      <c r="O30" s="42">
        <f t="shared" si="4"/>
        <v>-1.999999999999974E-3</v>
      </c>
      <c r="P30" s="6">
        <v>0.193</v>
      </c>
      <c r="Q30" s="6">
        <v>0.18423999999999999</v>
      </c>
      <c r="R30" s="42">
        <f t="shared" si="5"/>
        <v>-9.000000000000008E-3</v>
      </c>
      <c r="S30" s="44" t="str">
        <f t="shared" si="0"/>
        <v>Yes</v>
      </c>
    </row>
    <row r="31" spans="1:25" s="2" customFormat="1">
      <c r="A31" s="1">
        <v>231477500218</v>
      </c>
      <c r="B31" s="2" t="s">
        <v>74</v>
      </c>
      <c r="C31" s="9" t="s">
        <v>77</v>
      </c>
      <c r="D31" s="5" t="s">
        <v>24</v>
      </c>
      <c r="E31" s="2" t="s">
        <v>22</v>
      </c>
      <c r="F31" s="27">
        <v>17671.2</v>
      </c>
      <c r="G31" s="27">
        <v>16717.05</v>
      </c>
      <c r="H31" s="34">
        <f t="shared" si="1"/>
        <v>-954.15000000000146</v>
      </c>
      <c r="I31" s="37">
        <v>80221.89</v>
      </c>
      <c r="J31" s="37">
        <v>79280.899999999994</v>
      </c>
      <c r="K31" s="34">
        <f t="shared" si="2"/>
        <v>-940.99000000000524</v>
      </c>
      <c r="L31" s="40" t="str">
        <f t="shared" si="3"/>
        <v>No</v>
      </c>
      <c r="M31" s="6">
        <v>0.26167000000000001</v>
      </c>
      <c r="N31" s="6">
        <v>0.21393999999999999</v>
      </c>
      <c r="O31" s="42">
        <f t="shared" si="4"/>
        <v>-4.8000000000000015E-2</v>
      </c>
      <c r="P31" s="6">
        <v>0.193</v>
      </c>
      <c r="Q31" s="6">
        <v>0.18423999999999999</v>
      </c>
      <c r="R31" s="42">
        <f t="shared" si="5"/>
        <v>-9.000000000000008E-3</v>
      </c>
      <c r="S31" s="44" t="str">
        <f t="shared" si="0"/>
        <v>No</v>
      </c>
    </row>
    <row r="32" spans="1:25" s="2" customFormat="1">
      <c r="A32" s="1">
        <v>231077000362</v>
      </c>
      <c r="B32" s="2" t="s">
        <v>78</v>
      </c>
      <c r="C32" s="2" t="s">
        <v>79</v>
      </c>
      <c r="D32" s="5" t="s">
        <v>76</v>
      </c>
      <c r="E32" s="2" t="s">
        <v>22</v>
      </c>
      <c r="F32" s="27">
        <v>14486.36</v>
      </c>
      <c r="G32" s="27">
        <v>14781.84</v>
      </c>
      <c r="H32" s="34">
        <f t="shared" si="1"/>
        <v>295.47999999999956</v>
      </c>
      <c r="I32" s="37">
        <v>13188.2</v>
      </c>
      <c r="J32" s="37">
        <v>13249.96</v>
      </c>
      <c r="K32" s="34">
        <f t="shared" si="2"/>
        <v>61.759999999998399</v>
      </c>
      <c r="L32" s="40" t="str">
        <f t="shared" si="3"/>
        <v>Yes</v>
      </c>
      <c r="M32" s="6">
        <f t="shared" ref="M32:N34" si="6">1/5</f>
        <v>0.2</v>
      </c>
      <c r="N32" s="6">
        <f t="shared" si="6"/>
        <v>0.2</v>
      </c>
      <c r="O32" s="42">
        <f t="shared" si="4"/>
        <v>0</v>
      </c>
      <c r="P32" s="6">
        <f t="shared" ref="P32:Q34" si="7">1/6</f>
        <v>0.16666666666666666</v>
      </c>
      <c r="Q32" s="6">
        <f t="shared" si="7"/>
        <v>0.16666666666666666</v>
      </c>
      <c r="R32" s="42">
        <f t="shared" si="5"/>
        <v>0</v>
      </c>
      <c r="S32" s="44" t="str">
        <f t="shared" si="0"/>
        <v>Yes</v>
      </c>
    </row>
    <row r="33" spans="1:25" s="2" customFormat="1">
      <c r="A33" s="1">
        <v>231077000925</v>
      </c>
      <c r="B33" s="2" t="s">
        <v>78</v>
      </c>
      <c r="C33" s="2" t="s">
        <v>80</v>
      </c>
      <c r="D33" s="5" t="s">
        <v>24</v>
      </c>
      <c r="E33" s="2" t="s">
        <v>22</v>
      </c>
      <c r="F33" s="27">
        <v>12567.44</v>
      </c>
      <c r="G33" s="27">
        <v>12702.86</v>
      </c>
      <c r="H33" s="34">
        <f t="shared" si="1"/>
        <v>135.42000000000007</v>
      </c>
      <c r="I33" s="37">
        <v>13188.2</v>
      </c>
      <c r="J33" s="37">
        <v>13249.96</v>
      </c>
      <c r="K33" s="34">
        <f t="shared" si="2"/>
        <v>61.759999999998399</v>
      </c>
      <c r="L33" s="40" t="str">
        <f t="shared" si="3"/>
        <v>Yes</v>
      </c>
      <c r="M33" s="6">
        <f t="shared" si="6"/>
        <v>0.2</v>
      </c>
      <c r="N33" s="6">
        <f t="shared" si="6"/>
        <v>0.2</v>
      </c>
      <c r="O33" s="42">
        <f t="shared" si="4"/>
        <v>0</v>
      </c>
      <c r="P33" s="6">
        <f t="shared" si="7"/>
        <v>0.16666666666666666</v>
      </c>
      <c r="Q33" s="6">
        <f t="shared" si="7"/>
        <v>0.16666666666666666</v>
      </c>
      <c r="R33" s="42">
        <f t="shared" si="5"/>
        <v>0</v>
      </c>
      <c r="S33" s="44" t="str">
        <f t="shared" si="0"/>
        <v>Yes</v>
      </c>
    </row>
    <row r="34" spans="1:25" s="2" customFormat="1">
      <c r="A34" s="1">
        <v>231077000607</v>
      </c>
      <c r="B34" s="2" t="s">
        <v>78</v>
      </c>
      <c r="C34" s="2" t="s">
        <v>81</v>
      </c>
      <c r="D34" s="5" t="s">
        <v>24</v>
      </c>
      <c r="E34" s="2" t="s">
        <v>22</v>
      </c>
      <c r="F34" s="27">
        <v>12832</v>
      </c>
      <c r="G34" s="27">
        <v>12862.69</v>
      </c>
      <c r="H34" s="34">
        <f t="shared" si="1"/>
        <v>30.690000000000509</v>
      </c>
      <c r="I34" s="37">
        <v>13188.2</v>
      </c>
      <c r="J34" s="37">
        <v>13249.96</v>
      </c>
      <c r="K34" s="34">
        <f t="shared" si="2"/>
        <v>61.759999999998399</v>
      </c>
      <c r="L34" s="40" t="str">
        <f t="shared" si="3"/>
        <v>Yes</v>
      </c>
      <c r="M34" s="6">
        <f t="shared" si="6"/>
        <v>0.2</v>
      </c>
      <c r="N34" s="6">
        <f t="shared" si="6"/>
        <v>0.2</v>
      </c>
      <c r="O34" s="42">
        <f t="shared" si="4"/>
        <v>0</v>
      </c>
      <c r="P34" s="6">
        <f t="shared" si="7"/>
        <v>0.16666666666666666</v>
      </c>
      <c r="Q34" s="6">
        <f t="shared" si="7"/>
        <v>0.16666666666666666</v>
      </c>
      <c r="R34" s="42">
        <f t="shared" si="5"/>
        <v>0</v>
      </c>
      <c r="S34" s="44" t="str">
        <f t="shared" si="0"/>
        <v>Yes</v>
      </c>
    </row>
    <row r="35" spans="1:25" s="2" customFormat="1">
      <c r="A35" s="1">
        <v>231477900704</v>
      </c>
      <c r="B35" s="10" t="s">
        <v>82</v>
      </c>
      <c r="C35" s="10" t="s">
        <v>83</v>
      </c>
      <c r="D35" s="5" t="s">
        <v>38</v>
      </c>
      <c r="E35" s="2" t="s">
        <v>22</v>
      </c>
      <c r="F35" s="27">
        <v>15234.84</v>
      </c>
      <c r="G35" s="27">
        <v>15588.65</v>
      </c>
      <c r="H35" s="34">
        <f t="shared" si="1"/>
        <v>353.80999999999949</v>
      </c>
      <c r="I35" s="37">
        <v>13270.63</v>
      </c>
      <c r="J35" s="37">
        <v>13358.98</v>
      </c>
      <c r="K35" s="34">
        <f t="shared" si="2"/>
        <v>88.350000000000364</v>
      </c>
      <c r="L35" s="40" t="str">
        <f t="shared" si="3"/>
        <v>Yes</v>
      </c>
      <c r="M35" s="6">
        <f>1/5.33851</f>
        <v>0.18731818428737607</v>
      </c>
      <c r="N35" s="6">
        <f>1/5.317</f>
        <v>0.18807598269700959</v>
      </c>
      <c r="O35" s="42">
        <f t="shared" si="4"/>
        <v>1.0000000000000009E-3</v>
      </c>
      <c r="P35" s="6">
        <f>1/5.454</f>
        <v>0.18335166850018336</v>
      </c>
      <c r="Q35" s="6">
        <f>1/5.7</f>
        <v>0.17543859649122806</v>
      </c>
      <c r="R35" s="42">
        <f t="shared" si="5"/>
        <v>-8.0000000000000071E-3</v>
      </c>
      <c r="S35" s="44" t="str">
        <f t="shared" si="0"/>
        <v>Yes</v>
      </c>
      <c r="T35" s="3"/>
      <c r="U35" s="3"/>
      <c r="V35" s="3"/>
      <c r="W35" s="3"/>
      <c r="X35" s="3"/>
      <c r="Y35" s="3"/>
    </row>
    <row r="36" spans="1:25" s="2" customFormat="1">
      <c r="A36" s="1">
        <v>231477900121</v>
      </c>
      <c r="B36" s="2" t="s">
        <v>82</v>
      </c>
      <c r="C36" s="2" t="s">
        <v>84</v>
      </c>
      <c r="D36" s="5" t="s">
        <v>61</v>
      </c>
      <c r="E36" s="2" t="s">
        <v>22</v>
      </c>
      <c r="F36" s="27">
        <v>16179.31</v>
      </c>
      <c r="G36" s="27">
        <v>16401.29</v>
      </c>
      <c r="H36" s="34">
        <f t="shared" si="1"/>
        <v>221.98000000000138</v>
      </c>
      <c r="I36" s="37">
        <v>13270.63</v>
      </c>
      <c r="J36" s="37">
        <v>13358.98</v>
      </c>
      <c r="K36" s="34">
        <f t="shared" si="2"/>
        <v>88.350000000000364</v>
      </c>
      <c r="L36" s="40" t="str">
        <f t="shared" si="3"/>
        <v>Yes</v>
      </c>
      <c r="M36" s="6">
        <f>1/53.42</f>
        <v>1.8719580681392737E-2</v>
      </c>
      <c r="N36" s="6">
        <f>1/5.302</f>
        <v>0.18860807242549982</v>
      </c>
      <c r="O36" s="42">
        <f t="shared" si="4"/>
        <v>0.17</v>
      </c>
      <c r="P36" s="6">
        <f>1/5.454</f>
        <v>0.18335166850018336</v>
      </c>
      <c r="Q36" s="6">
        <f>1/5.7</f>
        <v>0.17543859649122806</v>
      </c>
      <c r="R36" s="42">
        <f t="shared" si="5"/>
        <v>-8.0000000000000071E-3</v>
      </c>
      <c r="S36" s="44" t="str">
        <f t="shared" si="0"/>
        <v>Yes</v>
      </c>
      <c r="T36" s="3"/>
      <c r="U36" s="3"/>
      <c r="V36" s="3"/>
      <c r="W36" s="3"/>
      <c r="X36" s="3"/>
      <c r="Y36" s="3"/>
    </row>
    <row r="37" spans="1:25" s="2" customFormat="1">
      <c r="A37" s="1">
        <v>231477300800</v>
      </c>
      <c r="B37" s="2" t="s">
        <v>85</v>
      </c>
      <c r="C37" s="2" t="s">
        <v>86</v>
      </c>
      <c r="D37" s="5" t="s">
        <v>43</v>
      </c>
      <c r="E37" s="2" t="s">
        <v>22</v>
      </c>
      <c r="F37" s="27">
        <v>16799.669999999998</v>
      </c>
      <c r="G37" s="27">
        <v>17021.2</v>
      </c>
      <c r="H37" s="34">
        <f t="shared" si="1"/>
        <v>221.53000000000247</v>
      </c>
      <c r="I37" s="37">
        <v>20720.04</v>
      </c>
      <c r="J37" s="37">
        <v>21370.78</v>
      </c>
      <c r="K37" s="34">
        <f t="shared" si="2"/>
        <v>650.73999999999796</v>
      </c>
      <c r="L37" s="40" t="str">
        <f t="shared" si="3"/>
        <v>Yes</v>
      </c>
      <c r="M37" s="6">
        <f>1/7</f>
        <v>0.14285714285714285</v>
      </c>
      <c r="N37" s="6">
        <f>1/6</f>
        <v>0.16666666666666666</v>
      </c>
      <c r="O37" s="42">
        <f t="shared" si="4"/>
        <v>2.4000000000000021E-2</v>
      </c>
      <c r="P37" s="6">
        <f>1/6</f>
        <v>0.16666666666666666</v>
      </c>
      <c r="Q37" s="6">
        <f>1/5</f>
        <v>0.2</v>
      </c>
      <c r="R37" s="42">
        <f t="shared" si="5"/>
        <v>3.3000000000000002E-2</v>
      </c>
      <c r="S37" s="44" t="str">
        <f t="shared" si="0"/>
        <v>Yes</v>
      </c>
    </row>
    <row r="38" spans="1:25" s="2" customFormat="1">
      <c r="A38" s="1">
        <v>231477300008</v>
      </c>
      <c r="B38" s="2" t="s">
        <v>85</v>
      </c>
      <c r="C38" s="2" t="s">
        <v>87</v>
      </c>
      <c r="D38" s="5" t="s">
        <v>27</v>
      </c>
      <c r="E38" s="2" t="s">
        <v>22</v>
      </c>
      <c r="F38" s="27">
        <v>20506.240000000002</v>
      </c>
      <c r="G38" s="27">
        <v>20514.43</v>
      </c>
      <c r="H38" s="34">
        <f t="shared" si="1"/>
        <v>8.1899999999986903</v>
      </c>
      <c r="I38" s="37">
        <v>20720.04</v>
      </c>
      <c r="J38" s="37">
        <v>21370.78</v>
      </c>
      <c r="K38" s="34">
        <f t="shared" si="2"/>
        <v>650.73999999999796</v>
      </c>
      <c r="L38" s="40" t="str">
        <f t="shared" si="3"/>
        <v>Yes</v>
      </c>
      <c r="M38" s="6">
        <f>1/6</f>
        <v>0.16666666666666666</v>
      </c>
      <c r="N38" s="6">
        <f>1/5</f>
        <v>0.2</v>
      </c>
      <c r="O38" s="42">
        <f t="shared" si="4"/>
        <v>3.3000000000000002E-2</v>
      </c>
      <c r="P38" s="6">
        <f>1/6</f>
        <v>0.16666666666666666</v>
      </c>
      <c r="Q38" s="6">
        <f>1/5</f>
        <v>0.2</v>
      </c>
      <c r="R38" s="42">
        <f t="shared" si="5"/>
        <v>3.3000000000000002E-2</v>
      </c>
      <c r="S38" s="44" t="str">
        <f t="shared" si="0"/>
        <v>Yes</v>
      </c>
    </row>
    <row r="39" spans="1:25" s="2" customFormat="1">
      <c r="A39" s="1">
        <v>231481500030</v>
      </c>
      <c r="B39" s="2" t="s">
        <v>88</v>
      </c>
      <c r="C39" s="2" t="s">
        <v>89</v>
      </c>
      <c r="D39" s="5" t="s">
        <v>61</v>
      </c>
      <c r="E39" s="2" t="s">
        <v>22</v>
      </c>
      <c r="F39" s="28">
        <v>13660.67</v>
      </c>
      <c r="G39" s="28">
        <v>15862.1</v>
      </c>
      <c r="H39" s="34">
        <f t="shared" si="1"/>
        <v>2201.4300000000003</v>
      </c>
      <c r="I39" s="37">
        <v>13407.93</v>
      </c>
      <c r="J39" s="38">
        <v>14082.19</v>
      </c>
      <c r="K39" s="34">
        <f t="shared" si="2"/>
        <v>674.26000000000022</v>
      </c>
      <c r="L39" s="40" t="str">
        <f t="shared" si="3"/>
        <v>Yes</v>
      </c>
      <c r="M39" s="6">
        <v>0.151</v>
      </c>
      <c r="N39" s="6">
        <v>0.11700000000000001</v>
      </c>
      <c r="O39" s="42">
        <f t="shared" si="4"/>
        <v>-3.3999999999999989E-2</v>
      </c>
      <c r="P39" s="6">
        <v>0.17199999999999999</v>
      </c>
      <c r="Q39" s="6">
        <v>0.13600000000000001</v>
      </c>
      <c r="R39" s="42">
        <f t="shared" si="5"/>
        <v>-3.5999999999999976E-2</v>
      </c>
      <c r="S39" s="44" t="str">
        <f t="shared" si="0"/>
        <v>Yes</v>
      </c>
    </row>
    <row r="40" spans="1:25" s="2" customFormat="1">
      <c r="A40" s="1">
        <v>231481500388</v>
      </c>
      <c r="B40" s="2" t="s">
        <v>88</v>
      </c>
      <c r="C40" s="2" t="s">
        <v>90</v>
      </c>
      <c r="D40" s="5" t="s">
        <v>63</v>
      </c>
      <c r="E40" s="2" t="s">
        <v>22</v>
      </c>
      <c r="F40" s="27">
        <v>15082.16</v>
      </c>
      <c r="G40" s="27">
        <v>16369.47</v>
      </c>
      <c r="H40" s="34">
        <f t="shared" si="1"/>
        <v>1287.3099999999995</v>
      </c>
      <c r="I40" s="37">
        <v>13407.93</v>
      </c>
      <c r="J40" s="38">
        <v>14082.19</v>
      </c>
      <c r="K40" s="34">
        <f t="shared" si="2"/>
        <v>674.26000000000022</v>
      </c>
      <c r="L40" s="40" t="str">
        <f t="shared" si="3"/>
        <v>Yes</v>
      </c>
      <c r="M40" s="6">
        <v>0.17699999999999999</v>
      </c>
      <c r="N40" s="6">
        <v>0.17599999999999999</v>
      </c>
      <c r="O40" s="42">
        <f t="shared" si="4"/>
        <v>-1.0000000000000009E-3</v>
      </c>
      <c r="P40" s="6">
        <v>0.17199999999999999</v>
      </c>
      <c r="Q40" s="6">
        <v>0.13600000000000001</v>
      </c>
      <c r="R40" s="42">
        <f t="shared" si="5"/>
        <v>-3.5999999999999976E-2</v>
      </c>
      <c r="S40" s="44" t="str">
        <f t="shared" si="0"/>
        <v>Yes</v>
      </c>
    </row>
    <row r="41" spans="1:25" s="2" customFormat="1">
      <c r="A41" s="1">
        <v>231478800235</v>
      </c>
      <c r="B41" s="2" t="s">
        <v>91</v>
      </c>
      <c r="C41" s="2" t="s">
        <v>92</v>
      </c>
      <c r="D41" s="5" t="s">
        <v>33</v>
      </c>
      <c r="E41" s="2" t="s">
        <v>22</v>
      </c>
      <c r="F41" s="27">
        <v>21889.42</v>
      </c>
      <c r="G41" s="27">
        <v>22121.22</v>
      </c>
      <c r="H41" s="34">
        <f t="shared" si="1"/>
        <v>231.80000000000291</v>
      </c>
      <c r="I41" s="37">
        <v>22061.53</v>
      </c>
      <c r="J41" s="37">
        <v>21288.17</v>
      </c>
      <c r="K41" s="34">
        <f t="shared" si="2"/>
        <v>-773.36000000000058</v>
      </c>
      <c r="L41" s="40" t="str">
        <f t="shared" si="3"/>
        <v>Yes</v>
      </c>
      <c r="M41" s="14">
        <v>0.25900000000000001</v>
      </c>
      <c r="N41" s="14">
        <v>0.22800000000000001</v>
      </c>
      <c r="O41" s="42">
        <f t="shared" si="4"/>
        <v>-3.1E-2</v>
      </c>
      <c r="P41" s="14">
        <v>0.19</v>
      </c>
      <c r="Q41" s="14">
        <v>0.17899999999999999</v>
      </c>
      <c r="R41" s="42">
        <f t="shared" si="5"/>
        <v>-1.100000000000001E-2</v>
      </c>
      <c r="S41" s="44" t="str">
        <f t="shared" si="0"/>
        <v>No</v>
      </c>
    </row>
    <row r="42" spans="1:25" s="2" customFormat="1">
      <c r="A42" s="1">
        <v>231478800294</v>
      </c>
      <c r="B42" s="2" t="s">
        <v>91</v>
      </c>
      <c r="C42" s="2" t="s">
        <v>93</v>
      </c>
      <c r="D42" s="5" t="s">
        <v>33</v>
      </c>
      <c r="E42" s="2" t="s">
        <v>22</v>
      </c>
      <c r="F42" s="27">
        <v>15838.93</v>
      </c>
      <c r="G42" s="27">
        <v>16155.78</v>
      </c>
      <c r="H42" s="34">
        <f t="shared" si="1"/>
        <v>316.85000000000036</v>
      </c>
      <c r="I42" s="37">
        <v>22061.53</v>
      </c>
      <c r="J42" s="37">
        <v>21288.17</v>
      </c>
      <c r="K42" s="34">
        <f t="shared" si="2"/>
        <v>-773.36000000000058</v>
      </c>
      <c r="L42" s="40" t="str">
        <f t="shared" si="3"/>
        <v>Yes</v>
      </c>
      <c r="M42" s="14">
        <v>0.22500000000000001</v>
      </c>
      <c r="N42" s="14">
        <v>0.21</v>
      </c>
      <c r="O42" s="42">
        <f t="shared" si="4"/>
        <v>-1.5000000000000013E-2</v>
      </c>
      <c r="P42" s="14">
        <v>0.19</v>
      </c>
      <c r="Q42" s="14">
        <v>0.18</v>
      </c>
      <c r="R42" s="42">
        <f t="shared" si="5"/>
        <v>-1.0000000000000009E-2</v>
      </c>
      <c r="S42" s="44" t="str">
        <f t="shared" si="0"/>
        <v>No</v>
      </c>
    </row>
    <row r="43" spans="1:25" s="2" customFormat="1">
      <c r="A43" s="1">
        <v>231155000484</v>
      </c>
      <c r="B43" s="2" t="s">
        <v>94</v>
      </c>
      <c r="C43" s="2" t="s">
        <v>95</v>
      </c>
      <c r="D43" s="5" t="s">
        <v>24</v>
      </c>
      <c r="E43" s="2" t="s">
        <v>22</v>
      </c>
      <c r="F43" s="27">
        <v>12126</v>
      </c>
      <c r="G43" s="27">
        <v>12478</v>
      </c>
      <c r="H43" s="34">
        <f t="shared" si="1"/>
        <v>352</v>
      </c>
      <c r="I43" s="37">
        <v>16074</v>
      </c>
      <c r="J43" s="37">
        <v>16338</v>
      </c>
      <c r="K43" s="34">
        <f t="shared" si="2"/>
        <v>264</v>
      </c>
      <c r="L43" s="40" t="str">
        <f t="shared" si="3"/>
        <v>Yes</v>
      </c>
      <c r="M43" s="14">
        <v>8.3000000000000004E-2</v>
      </c>
      <c r="N43" s="14">
        <v>8.3000000000000004E-2</v>
      </c>
      <c r="O43" s="42">
        <f t="shared" si="4"/>
        <v>0</v>
      </c>
      <c r="P43" s="6">
        <v>7.0999999999999994E-2</v>
      </c>
      <c r="Q43" s="6">
        <v>7.0999999999999994E-2</v>
      </c>
      <c r="R43" s="42">
        <f t="shared" si="5"/>
        <v>0</v>
      </c>
      <c r="S43" s="44" t="str">
        <f t="shared" si="0"/>
        <v>Yes</v>
      </c>
    </row>
    <row r="44" spans="1:25" s="2" customFormat="1">
      <c r="A44" s="1">
        <v>231155000508</v>
      </c>
      <c r="B44" s="2" t="s">
        <v>94</v>
      </c>
      <c r="C44" s="2" t="s">
        <v>96</v>
      </c>
      <c r="D44" s="5" t="s">
        <v>24</v>
      </c>
      <c r="E44" s="2" t="s">
        <v>22</v>
      </c>
      <c r="F44" s="27">
        <v>10903</v>
      </c>
      <c r="G44" s="27">
        <v>11263</v>
      </c>
      <c r="H44" s="34">
        <f t="shared" si="1"/>
        <v>360</v>
      </c>
      <c r="I44" s="37">
        <v>16074</v>
      </c>
      <c r="J44" s="37">
        <v>16338</v>
      </c>
      <c r="K44" s="34">
        <f t="shared" si="2"/>
        <v>264</v>
      </c>
      <c r="L44" s="40" t="str">
        <f t="shared" si="3"/>
        <v>Yes</v>
      </c>
      <c r="M44" s="14">
        <v>7.6999999999999999E-2</v>
      </c>
      <c r="N44" s="14">
        <v>8.3000000000000004E-2</v>
      </c>
      <c r="O44" s="42">
        <f t="shared" si="4"/>
        <v>6.0000000000000053E-3</v>
      </c>
      <c r="P44" s="6">
        <v>7.0999999999999994E-2</v>
      </c>
      <c r="Q44" s="6">
        <v>7.0999999999999994E-2</v>
      </c>
      <c r="R44" s="42">
        <f t="shared" si="5"/>
        <v>0</v>
      </c>
      <c r="S44" s="44" t="str">
        <f t="shared" si="0"/>
        <v>Yes</v>
      </c>
    </row>
    <row r="45" spans="1:25" s="2" customFormat="1">
      <c r="A45" s="1">
        <v>231433000698</v>
      </c>
      <c r="B45" s="2" t="s">
        <v>97</v>
      </c>
      <c r="C45" s="2" t="s">
        <v>98</v>
      </c>
      <c r="D45" s="5" t="s">
        <v>24</v>
      </c>
      <c r="E45" s="2" t="s">
        <v>22</v>
      </c>
      <c r="F45" s="27">
        <v>13120.12</v>
      </c>
      <c r="G45" s="27">
        <v>13255.88</v>
      </c>
      <c r="H45" s="34">
        <f t="shared" si="1"/>
        <v>135.7599999999984</v>
      </c>
      <c r="I45" s="37">
        <v>12146</v>
      </c>
      <c r="J45" s="37">
        <v>12587.52</v>
      </c>
      <c r="K45" s="34">
        <f t="shared" si="2"/>
        <v>441.52000000000044</v>
      </c>
      <c r="L45" s="40" t="str">
        <f t="shared" si="3"/>
        <v>Yes</v>
      </c>
      <c r="M45" s="14">
        <v>0.16</v>
      </c>
      <c r="N45" s="14">
        <v>0.15</v>
      </c>
      <c r="O45" s="42">
        <f t="shared" si="4"/>
        <v>-1.0000000000000009E-2</v>
      </c>
      <c r="P45" s="14">
        <v>0.12</v>
      </c>
      <c r="Q45" s="14">
        <v>0.09</v>
      </c>
      <c r="R45" s="42">
        <f t="shared" si="5"/>
        <v>-0.03</v>
      </c>
      <c r="S45" s="44" t="str">
        <f t="shared" si="0"/>
        <v>Yes</v>
      </c>
    </row>
    <row r="46" spans="1:25" s="2" customFormat="1">
      <c r="A46" s="1">
        <v>231433000997</v>
      </c>
      <c r="B46" s="2" t="s">
        <v>97</v>
      </c>
      <c r="C46" s="2" t="s">
        <v>99</v>
      </c>
      <c r="D46" s="5" t="s">
        <v>100</v>
      </c>
      <c r="E46" s="2" t="s">
        <v>22</v>
      </c>
      <c r="F46" s="27">
        <v>13859.84</v>
      </c>
      <c r="G46" s="27">
        <v>13965.09</v>
      </c>
      <c r="H46" s="34">
        <f t="shared" si="1"/>
        <v>105.25</v>
      </c>
      <c r="I46" s="37">
        <v>12146</v>
      </c>
      <c r="J46" s="37">
        <v>12587.52</v>
      </c>
      <c r="K46" s="34">
        <f t="shared" si="2"/>
        <v>441.52000000000044</v>
      </c>
      <c r="L46" s="40" t="str">
        <f t="shared" si="3"/>
        <v>Yes</v>
      </c>
      <c r="M46" s="14">
        <v>0.16</v>
      </c>
      <c r="N46" s="14">
        <v>0.12</v>
      </c>
      <c r="O46" s="42">
        <f t="shared" si="4"/>
        <v>-4.0000000000000008E-2</v>
      </c>
      <c r="P46" s="14">
        <v>0.12</v>
      </c>
      <c r="Q46" s="14">
        <v>0.09</v>
      </c>
      <c r="R46" s="42">
        <f t="shared" si="5"/>
        <v>-0.03</v>
      </c>
      <c r="S46" s="44" t="str">
        <f t="shared" si="0"/>
        <v>No</v>
      </c>
    </row>
    <row r="47" spans="1:25" s="2" customFormat="1">
      <c r="A47" s="1">
        <v>231416000656</v>
      </c>
      <c r="B47" s="2" t="s">
        <v>101</v>
      </c>
      <c r="C47" s="2" t="s">
        <v>102</v>
      </c>
      <c r="D47" s="5" t="s">
        <v>76</v>
      </c>
      <c r="E47" s="2" t="s">
        <v>22</v>
      </c>
      <c r="F47" s="27">
        <v>15114.5</v>
      </c>
      <c r="G47" s="27">
        <v>15716.6</v>
      </c>
      <c r="H47" s="34">
        <f t="shared" si="1"/>
        <v>602.10000000000036</v>
      </c>
      <c r="I47" s="37">
        <v>14372.81</v>
      </c>
      <c r="J47" s="37">
        <v>14572.17</v>
      </c>
      <c r="K47" s="34">
        <f t="shared" si="2"/>
        <v>199.36000000000058</v>
      </c>
      <c r="L47" s="40" t="str">
        <f t="shared" si="3"/>
        <v>Yes</v>
      </c>
      <c r="M47" s="14">
        <v>0.25600000000000001</v>
      </c>
      <c r="N47" s="14">
        <v>0.27300000000000002</v>
      </c>
      <c r="O47" s="42">
        <f t="shared" si="4"/>
        <v>1.7000000000000015E-2</v>
      </c>
      <c r="P47" s="14">
        <v>0.20899999999999999</v>
      </c>
      <c r="Q47" s="14">
        <v>0.224</v>
      </c>
      <c r="R47" s="42">
        <f t="shared" si="5"/>
        <v>1.5000000000000013E-2</v>
      </c>
      <c r="S47" s="44" t="str">
        <f t="shared" si="0"/>
        <v>Yes</v>
      </c>
    </row>
    <row r="48" spans="1:25" s="2" customFormat="1">
      <c r="A48" s="7">
        <v>231416000659</v>
      </c>
      <c r="B48" s="2" t="s">
        <v>101</v>
      </c>
      <c r="C48" s="2" t="s">
        <v>103</v>
      </c>
      <c r="D48" s="5" t="s">
        <v>24</v>
      </c>
      <c r="E48" s="2" t="s">
        <v>22</v>
      </c>
      <c r="F48" s="27">
        <v>15502.29</v>
      </c>
      <c r="G48" s="27">
        <v>16015.55</v>
      </c>
      <c r="H48" s="34">
        <f t="shared" si="1"/>
        <v>513.2599999999984</v>
      </c>
      <c r="I48" s="37">
        <v>14372.81</v>
      </c>
      <c r="J48" s="37">
        <v>14572.17</v>
      </c>
      <c r="K48" s="34">
        <f t="shared" si="2"/>
        <v>199.36000000000058</v>
      </c>
      <c r="L48" s="40" t="str">
        <f t="shared" si="3"/>
        <v>Yes</v>
      </c>
      <c r="M48" s="14">
        <v>0.26300000000000001</v>
      </c>
      <c r="N48" s="14">
        <v>0.29399999999999998</v>
      </c>
      <c r="O48" s="42">
        <f t="shared" si="4"/>
        <v>3.0999999999999972E-2</v>
      </c>
      <c r="P48" s="14">
        <v>0.20899999999999999</v>
      </c>
      <c r="Q48" s="14">
        <v>0.224</v>
      </c>
      <c r="R48" s="42">
        <f t="shared" si="5"/>
        <v>1.5000000000000013E-2</v>
      </c>
      <c r="S48" s="44" t="str">
        <f t="shared" si="0"/>
        <v>Yes</v>
      </c>
    </row>
    <row r="49" spans="1:25" s="2" customFormat="1">
      <c r="A49" s="7">
        <v>231459000948</v>
      </c>
      <c r="B49" s="2" t="s">
        <v>104</v>
      </c>
      <c r="C49" s="2" t="s">
        <v>105</v>
      </c>
      <c r="D49" s="5" t="s">
        <v>106</v>
      </c>
      <c r="E49" s="2" t="s">
        <v>22</v>
      </c>
      <c r="F49" s="27">
        <v>14247.47</v>
      </c>
      <c r="G49" s="27">
        <v>14943.1</v>
      </c>
      <c r="H49" s="34">
        <f t="shared" si="1"/>
        <v>695.63000000000102</v>
      </c>
      <c r="I49" s="37">
        <v>14789.38</v>
      </c>
      <c r="J49" s="37">
        <v>15342.38</v>
      </c>
      <c r="K49" s="34">
        <f t="shared" si="2"/>
        <v>553</v>
      </c>
      <c r="L49" s="40" t="str">
        <f t="shared" si="3"/>
        <v>Yes</v>
      </c>
      <c r="M49" s="6">
        <v>0.2</v>
      </c>
      <c r="N49" s="6">
        <v>0.2</v>
      </c>
      <c r="O49" s="42">
        <f t="shared" si="4"/>
        <v>0</v>
      </c>
      <c r="P49" s="14">
        <v>0.16</v>
      </c>
      <c r="Q49" s="14">
        <v>0.17</v>
      </c>
      <c r="R49" s="42">
        <f t="shared" si="5"/>
        <v>1.0000000000000009E-2</v>
      </c>
      <c r="S49" s="44" t="str">
        <f t="shared" si="0"/>
        <v>Yes</v>
      </c>
    </row>
    <row r="50" spans="1:25" s="2" customFormat="1">
      <c r="A50" s="1">
        <v>231459000746</v>
      </c>
      <c r="B50" s="2" t="s">
        <v>104</v>
      </c>
      <c r="C50" s="2" t="s">
        <v>107</v>
      </c>
      <c r="D50" s="5" t="s">
        <v>24</v>
      </c>
      <c r="E50" s="2" t="s">
        <v>22</v>
      </c>
      <c r="F50" s="27">
        <v>16621.2</v>
      </c>
      <c r="G50" s="27">
        <v>17215.919999999998</v>
      </c>
      <c r="H50" s="34">
        <f t="shared" si="1"/>
        <v>594.71999999999753</v>
      </c>
      <c r="I50" s="37">
        <v>14789.38</v>
      </c>
      <c r="J50" s="37">
        <v>15342.38</v>
      </c>
      <c r="K50" s="34">
        <f t="shared" si="2"/>
        <v>553</v>
      </c>
      <c r="L50" s="40" t="str">
        <f t="shared" si="3"/>
        <v>Yes</v>
      </c>
      <c r="M50" s="6">
        <v>0.161</v>
      </c>
      <c r="N50" s="6">
        <v>0.17699999999999999</v>
      </c>
      <c r="O50" s="42">
        <f t="shared" si="4"/>
        <v>1.5999999999999986E-2</v>
      </c>
      <c r="P50" s="14">
        <v>0.16</v>
      </c>
      <c r="Q50" s="14">
        <v>0.17</v>
      </c>
      <c r="R50" s="42">
        <f t="shared" si="5"/>
        <v>1.0000000000000009E-2</v>
      </c>
      <c r="S50" s="44" t="str">
        <f t="shared" si="0"/>
        <v>Yes</v>
      </c>
    </row>
    <row r="51" spans="1:25" s="2" customFormat="1">
      <c r="A51" s="1">
        <v>231470023135</v>
      </c>
      <c r="B51" s="2" t="s">
        <v>108</v>
      </c>
      <c r="C51" s="2" t="s">
        <v>109</v>
      </c>
      <c r="D51" s="5" t="s">
        <v>53</v>
      </c>
      <c r="E51" s="2" t="s">
        <v>22</v>
      </c>
      <c r="F51" s="27">
        <v>10868.14</v>
      </c>
      <c r="G51" s="27">
        <v>11150.96</v>
      </c>
      <c r="H51" s="34">
        <f t="shared" si="1"/>
        <v>282.81999999999971</v>
      </c>
      <c r="I51" s="37">
        <v>10114.58</v>
      </c>
      <c r="J51" s="37">
        <v>11056.42</v>
      </c>
      <c r="K51" s="34">
        <f t="shared" si="2"/>
        <v>941.84000000000015</v>
      </c>
      <c r="L51" s="40" t="str">
        <f t="shared" si="3"/>
        <v>Yes</v>
      </c>
      <c r="M51" s="6">
        <f>1/5</f>
        <v>0.2</v>
      </c>
      <c r="N51" s="6">
        <f>1/4</f>
        <v>0.25</v>
      </c>
      <c r="O51" s="42">
        <f t="shared" si="4"/>
        <v>4.9999999999999989E-2</v>
      </c>
      <c r="P51" s="6">
        <f>1/7</f>
        <v>0.14285714285714285</v>
      </c>
      <c r="Q51" s="6">
        <f>1/7</f>
        <v>0.14285714285714285</v>
      </c>
      <c r="R51" s="42">
        <f t="shared" si="5"/>
        <v>0</v>
      </c>
      <c r="S51" s="44" t="str">
        <f t="shared" si="0"/>
        <v>Yes</v>
      </c>
    </row>
    <row r="52" spans="1:25" s="2" customFormat="1">
      <c r="A52" s="1">
        <v>231470023180</v>
      </c>
      <c r="B52" s="2" t="s">
        <v>108</v>
      </c>
      <c r="C52" s="2" t="s">
        <v>110</v>
      </c>
      <c r="D52" s="5" t="s">
        <v>111</v>
      </c>
      <c r="E52" s="2" t="s">
        <v>22</v>
      </c>
      <c r="F52" s="27">
        <v>10709.47</v>
      </c>
      <c r="G52" s="27">
        <v>12475.43</v>
      </c>
      <c r="H52" s="34">
        <f t="shared" si="1"/>
        <v>1765.9600000000009</v>
      </c>
      <c r="I52" s="37">
        <v>10114.58</v>
      </c>
      <c r="J52" s="37">
        <v>11056.42</v>
      </c>
      <c r="K52" s="34">
        <f t="shared" si="2"/>
        <v>941.84000000000015</v>
      </c>
      <c r="L52" s="40" t="str">
        <f t="shared" si="3"/>
        <v>Yes</v>
      </c>
      <c r="M52" s="6">
        <f>1/5</f>
        <v>0.2</v>
      </c>
      <c r="N52" s="6">
        <f>1/4</f>
        <v>0.25</v>
      </c>
      <c r="O52" s="42">
        <f t="shared" si="4"/>
        <v>4.9999999999999989E-2</v>
      </c>
      <c r="P52" s="6">
        <f>1/7</f>
        <v>0.14285714285714285</v>
      </c>
      <c r="Q52" s="6">
        <f>1/7</f>
        <v>0.14285714285714285</v>
      </c>
      <c r="R52" s="42">
        <f t="shared" si="5"/>
        <v>0</v>
      </c>
      <c r="S52" s="44" t="str">
        <f t="shared" si="0"/>
        <v>Yes</v>
      </c>
    </row>
    <row r="53" spans="1:25">
      <c r="A53" s="1">
        <v>231421000673</v>
      </c>
      <c r="B53" s="2" t="s">
        <v>112</v>
      </c>
      <c r="C53" s="2" t="s">
        <v>113</v>
      </c>
      <c r="D53" s="5" t="s">
        <v>31</v>
      </c>
      <c r="E53" s="2" t="s">
        <v>22</v>
      </c>
      <c r="F53" s="27">
        <v>18826.599999999999</v>
      </c>
      <c r="G53" s="27">
        <v>19245.099999999999</v>
      </c>
      <c r="H53" s="34">
        <f t="shared" si="1"/>
        <v>418.5</v>
      </c>
      <c r="I53" s="37">
        <v>19318.169999999998</v>
      </c>
      <c r="J53" s="37">
        <v>19133.28</v>
      </c>
      <c r="K53" s="34">
        <f t="shared" si="2"/>
        <v>-184.88999999999942</v>
      </c>
      <c r="L53" s="40" t="str">
        <f t="shared" si="3"/>
        <v>Yes</v>
      </c>
      <c r="M53" s="6">
        <f>1/3.51</f>
        <v>0.28490028490028491</v>
      </c>
      <c r="N53" s="6">
        <f>1/3.61</f>
        <v>0.2770083102493075</v>
      </c>
      <c r="O53" s="42">
        <f>ROUND(N53,2)-ROUND(M53,2)</f>
        <v>0</v>
      </c>
      <c r="P53" s="6">
        <f>1/3.81</f>
        <v>0.26246719160104987</v>
      </c>
      <c r="Q53" s="6">
        <f>1/3.84</f>
        <v>0.26041666666666669</v>
      </c>
      <c r="R53" s="42">
        <f>ROUND(Q53,2)-ROUND(P53,2)</f>
        <v>0</v>
      </c>
      <c r="S53" s="44" t="str">
        <f t="shared" si="0"/>
        <v>Yes</v>
      </c>
      <c r="T53" s="2"/>
      <c r="U53" s="2"/>
      <c r="V53" s="2"/>
      <c r="W53" s="2"/>
      <c r="X53" s="2"/>
      <c r="Y53" s="2"/>
    </row>
    <row r="54" spans="1:25">
      <c r="A54" s="1">
        <v>231421000670</v>
      </c>
      <c r="B54" s="2" t="s">
        <v>112</v>
      </c>
      <c r="C54" s="2" t="s">
        <v>114</v>
      </c>
      <c r="D54" s="5" t="s">
        <v>33</v>
      </c>
      <c r="E54" s="2" t="s">
        <v>22</v>
      </c>
      <c r="F54" s="27">
        <v>20998.54</v>
      </c>
      <c r="G54" s="27">
        <v>20808.98</v>
      </c>
      <c r="H54" s="34">
        <f t="shared" si="1"/>
        <v>-189.56000000000131</v>
      </c>
      <c r="I54" s="37">
        <v>19318.169999999998</v>
      </c>
      <c r="J54" s="37">
        <v>19133.28</v>
      </c>
      <c r="K54" s="34">
        <f t="shared" si="2"/>
        <v>-184.88999999999942</v>
      </c>
      <c r="L54" s="40" t="str">
        <f t="shared" si="3"/>
        <v>No</v>
      </c>
      <c r="M54" s="6">
        <f>1/3.57</f>
        <v>0.28011204481792717</v>
      </c>
      <c r="N54" s="6">
        <f>1/3.42</f>
        <v>0.29239766081871343</v>
      </c>
      <c r="O54" s="42">
        <f t="shared" si="4"/>
        <v>1.1999999999999955E-2</v>
      </c>
      <c r="P54" s="6">
        <f>1/3.81</f>
        <v>0.26246719160104987</v>
      </c>
      <c r="Q54" s="6">
        <f>1/3.84</f>
        <v>0.26041666666666669</v>
      </c>
      <c r="R54" s="42">
        <f t="shared" si="5"/>
        <v>-2.0000000000000018E-3</v>
      </c>
      <c r="S54" s="44" t="str">
        <f t="shared" si="0"/>
        <v>Yes</v>
      </c>
      <c r="T54" s="2"/>
      <c r="U54" s="2"/>
      <c r="V54" s="2"/>
      <c r="W54" s="2"/>
      <c r="X54" s="2"/>
      <c r="Y54" s="2"/>
    </row>
    <row r="55" spans="1:25">
      <c r="A55" s="7">
        <v>231482223192</v>
      </c>
      <c r="B55" s="2" t="s">
        <v>115</v>
      </c>
      <c r="C55" s="2" t="s">
        <v>116</v>
      </c>
      <c r="D55" s="5" t="s">
        <v>38</v>
      </c>
      <c r="E55" s="2" t="s">
        <v>22</v>
      </c>
      <c r="F55" s="27">
        <v>11241.28</v>
      </c>
      <c r="G55" s="27">
        <v>13835.55</v>
      </c>
      <c r="H55" s="34">
        <f t="shared" si="1"/>
        <v>2594.2699999999986</v>
      </c>
      <c r="I55" s="37">
        <v>17829.439999999999</v>
      </c>
      <c r="J55" s="37">
        <v>19230.330000000002</v>
      </c>
      <c r="K55" s="34">
        <f t="shared" si="2"/>
        <v>1400.8900000000031</v>
      </c>
      <c r="L55" s="40" t="str">
        <f t="shared" si="3"/>
        <v>Yes</v>
      </c>
      <c r="M55" s="14">
        <v>0.13</v>
      </c>
      <c r="N55" s="14">
        <v>0.16</v>
      </c>
      <c r="O55" s="42">
        <f t="shared" si="4"/>
        <v>0.03</v>
      </c>
      <c r="P55" s="14">
        <v>0.23</v>
      </c>
      <c r="Q55" s="14">
        <v>0.26</v>
      </c>
      <c r="R55" s="42">
        <f t="shared" si="5"/>
        <v>0.03</v>
      </c>
      <c r="S55" s="44" t="str">
        <f t="shared" si="0"/>
        <v>Yes</v>
      </c>
      <c r="T55" s="2"/>
      <c r="U55" s="2"/>
      <c r="V55" s="2"/>
      <c r="W55" s="2"/>
      <c r="X55" s="2"/>
      <c r="Y55" s="2"/>
    </row>
    <row r="56" spans="1:25">
      <c r="A56" s="1">
        <v>231482223191</v>
      </c>
      <c r="B56" s="2" t="s">
        <v>115</v>
      </c>
      <c r="C56" s="2" t="s">
        <v>117</v>
      </c>
      <c r="D56" s="5" t="s">
        <v>40</v>
      </c>
      <c r="E56" s="2" t="s">
        <v>22</v>
      </c>
      <c r="F56" s="27">
        <v>10219.4</v>
      </c>
      <c r="G56" s="27">
        <v>11639.06</v>
      </c>
      <c r="H56" s="34">
        <f t="shared" si="1"/>
        <v>1419.6599999999999</v>
      </c>
      <c r="I56" s="37">
        <v>17829.439999999999</v>
      </c>
      <c r="J56" s="37">
        <v>19230.330000000002</v>
      </c>
      <c r="K56" s="34">
        <f t="shared" si="2"/>
        <v>1400.8900000000031</v>
      </c>
      <c r="L56" s="40" t="str">
        <f t="shared" si="3"/>
        <v>Yes</v>
      </c>
      <c r="M56" s="14">
        <v>0.21</v>
      </c>
      <c r="N56" s="14">
        <v>0.26</v>
      </c>
      <c r="O56" s="42">
        <f t="shared" si="4"/>
        <v>5.0000000000000017E-2</v>
      </c>
      <c r="P56" s="14">
        <v>0.23</v>
      </c>
      <c r="Q56" s="14">
        <v>0.26</v>
      </c>
      <c r="R56" s="42">
        <f t="shared" si="5"/>
        <v>0.03</v>
      </c>
      <c r="S56" s="44" t="str">
        <f t="shared" si="0"/>
        <v>Yes</v>
      </c>
      <c r="T56" s="2"/>
      <c r="U56" s="2"/>
      <c r="V56" s="2"/>
      <c r="W56" s="2"/>
      <c r="X56" s="2"/>
      <c r="Y56" s="2"/>
    </row>
    <row r="57" spans="1:25">
      <c r="A57" s="1">
        <v>231476800055</v>
      </c>
      <c r="B57" s="2" t="s">
        <v>118</v>
      </c>
      <c r="C57" s="2" t="s">
        <v>119</v>
      </c>
      <c r="D57" s="5" t="s">
        <v>43</v>
      </c>
      <c r="E57" s="2" t="s">
        <v>22</v>
      </c>
      <c r="F57" s="27">
        <v>16719.990000000002</v>
      </c>
      <c r="G57" s="27">
        <v>17453.27</v>
      </c>
      <c r="H57" s="34">
        <f t="shared" si="1"/>
        <v>733.27999999999884</v>
      </c>
      <c r="I57" s="37">
        <v>16417.849999999999</v>
      </c>
      <c r="J57" s="37">
        <v>17169.71</v>
      </c>
      <c r="K57" s="34">
        <f t="shared" si="2"/>
        <v>751.86000000000058</v>
      </c>
      <c r="L57" s="40" t="str">
        <f t="shared" si="3"/>
        <v>Yes</v>
      </c>
      <c r="M57" s="14">
        <v>0.22</v>
      </c>
      <c r="N57" s="14">
        <v>0.23</v>
      </c>
      <c r="O57" s="42">
        <f t="shared" si="4"/>
        <v>1.0000000000000009E-2</v>
      </c>
      <c r="P57" s="14">
        <v>0.24</v>
      </c>
      <c r="Q57" s="14">
        <v>0.25</v>
      </c>
      <c r="R57" s="42">
        <f t="shared" si="5"/>
        <v>1.0000000000000009E-2</v>
      </c>
      <c r="S57" s="44" t="str">
        <f t="shared" si="0"/>
        <v>Yes</v>
      </c>
      <c r="T57" s="2"/>
      <c r="U57" s="2"/>
      <c r="V57" s="2"/>
      <c r="W57" s="2"/>
      <c r="X57" s="2"/>
      <c r="Y57" s="2"/>
    </row>
    <row r="58" spans="1:25">
      <c r="A58" s="1">
        <v>231476800817</v>
      </c>
      <c r="B58" s="2" t="s">
        <v>118</v>
      </c>
      <c r="C58" s="2" t="s">
        <v>120</v>
      </c>
      <c r="D58" s="5" t="s">
        <v>27</v>
      </c>
      <c r="E58" s="2" t="s">
        <v>22</v>
      </c>
      <c r="F58" s="27">
        <v>22349.38</v>
      </c>
      <c r="G58" s="27">
        <v>23391.19</v>
      </c>
      <c r="H58" s="34">
        <f t="shared" si="1"/>
        <v>1041.8099999999977</v>
      </c>
      <c r="I58" s="37">
        <v>16417.849999999999</v>
      </c>
      <c r="J58" s="37">
        <v>17169.71</v>
      </c>
      <c r="K58" s="34">
        <f t="shared" si="2"/>
        <v>751.86000000000058</v>
      </c>
      <c r="L58" s="40" t="str">
        <f t="shared" si="3"/>
        <v>Yes</v>
      </c>
      <c r="M58" s="14">
        <v>0.28000000000000003</v>
      </c>
      <c r="N58" s="14">
        <v>0.28000000000000003</v>
      </c>
      <c r="O58" s="42">
        <f t="shared" si="4"/>
        <v>0</v>
      </c>
      <c r="P58" s="14">
        <v>0.24</v>
      </c>
      <c r="Q58" s="14">
        <v>0.25</v>
      </c>
      <c r="R58" s="42">
        <f t="shared" si="5"/>
        <v>1.0000000000000009E-2</v>
      </c>
      <c r="S58" s="44" t="str">
        <f t="shared" si="0"/>
        <v>Yes</v>
      </c>
      <c r="T58" s="2"/>
      <c r="U58" s="2"/>
      <c r="V58" s="2"/>
      <c r="W58" s="2"/>
      <c r="X58" s="2"/>
      <c r="Y58" s="2"/>
    </row>
    <row r="59" spans="1:25">
      <c r="A59" s="1">
        <v>231086000367</v>
      </c>
      <c r="B59" s="2" t="s">
        <v>121</v>
      </c>
      <c r="C59" s="2" t="s">
        <v>122</v>
      </c>
      <c r="D59" s="5" t="s">
        <v>38</v>
      </c>
      <c r="E59" s="2" t="s">
        <v>22</v>
      </c>
      <c r="F59" s="27">
        <v>12286</v>
      </c>
      <c r="G59" s="27">
        <v>14029.59</v>
      </c>
      <c r="H59" s="34">
        <f t="shared" si="1"/>
        <v>1743.5900000000001</v>
      </c>
      <c r="I59" s="37">
        <v>14991.18</v>
      </c>
      <c r="J59" s="37">
        <v>15512.74</v>
      </c>
      <c r="K59" s="34">
        <f t="shared" si="2"/>
        <v>521.55999999999949</v>
      </c>
      <c r="L59" s="40" t="str">
        <f t="shared" si="3"/>
        <v>Yes</v>
      </c>
      <c r="M59" s="6">
        <f>1/6</f>
        <v>0.16666666666666666</v>
      </c>
      <c r="N59" s="6">
        <f>1/6</f>
        <v>0.16666666666666666</v>
      </c>
      <c r="O59" s="42">
        <f t="shared" si="4"/>
        <v>0</v>
      </c>
      <c r="P59" s="6">
        <f>1/5</f>
        <v>0.2</v>
      </c>
      <c r="Q59" s="6">
        <f>1/5</f>
        <v>0.2</v>
      </c>
      <c r="R59" s="42">
        <f t="shared" si="5"/>
        <v>0</v>
      </c>
      <c r="S59" s="44" t="str">
        <f t="shared" si="0"/>
        <v>Yes</v>
      </c>
      <c r="T59" s="2"/>
      <c r="U59" s="2"/>
      <c r="V59" s="2"/>
      <c r="W59" s="2"/>
      <c r="X59" s="2"/>
      <c r="Y59" s="2"/>
    </row>
    <row r="60" spans="1:25">
      <c r="A60" s="1">
        <v>231086000370</v>
      </c>
      <c r="B60" s="2" t="s">
        <v>121</v>
      </c>
      <c r="C60" s="2" t="s">
        <v>123</v>
      </c>
      <c r="D60" s="5" t="s">
        <v>40</v>
      </c>
      <c r="E60" s="2" t="s">
        <v>22</v>
      </c>
      <c r="F60" s="27">
        <v>10706.97</v>
      </c>
      <c r="G60" s="27">
        <v>10754.82</v>
      </c>
      <c r="H60" s="34">
        <f t="shared" si="1"/>
        <v>47.850000000000364</v>
      </c>
      <c r="I60" s="37">
        <v>14991.18</v>
      </c>
      <c r="J60" s="37">
        <v>15512.74</v>
      </c>
      <c r="K60" s="34">
        <f t="shared" si="2"/>
        <v>521.55999999999949</v>
      </c>
      <c r="L60" s="40" t="str">
        <f t="shared" si="3"/>
        <v>Yes</v>
      </c>
      <c r="M60" s="6">
        <f>1/6</f>
        <v>0.16666666666666666</v>
      </c>
      <c r="N60" s="6">
        <f>1/6</f>
        <v>0.16666666666666666</v>
      </c>
      <c r="O60" s="42">
        <f t="shared" si="4"/>
        <v>0</v>
      </c>
      <c r="P60" s="6">
        <f>1/5</f>
        <v>0.2</v>
      </c>
      <c r="Q60" s="6">
        <f>1/5</f>
        <v>0.2</v>
      </c>
      <c r="R60" s="42">
        <f t="shared" si="5"/>
        <v>0</v>
      </c>
      <c r="S60" s="44" t="str">
        <f t="shared" si="0"/>
        <v>Yes</v>
      </c>
      <c r="T60" s="2"/>
      <c r="U60" s="2"/>
      <c r="V60" s="2"/>
      <c r="W60" s="2"/>
      <c r="X60" s="2"/>
      <c r="Y60" s="2"/>
    </row>
    <row r="61" spans="1:25">
      <c r="A61" s="1">
        <v>231038000306</v>
      </c>
      <c r="B61" s="2" t="s">
        <v>124</v>
      </c>
      <c r="C61" s="2" t="s">
        <v>125</v>
      </c>
      <c r="D61" s="5" t="s">
        <v>38</v>
      </c>
      <c r="E61" s="2" t="s">
        <v>22</v>
      </c>
      <c r="F61" s="27">
        <v>14689.15</v>
      </c>
      <c r="G61" s="27">
        <v>15990.01</v>
      </c>
      <c r="H61" s="34">
        <f t="shared" si="1"/>
        <v>1300.8600000000006</v>
      </c>
      <c r="I61" s="37">
        <v>13489.41</v>
      </c>
      <c r="J61" s="37">
        <v>15359.18</v>
      </c>
      <c r="K61" s="34">
        <f t="shared" si="2"/>
        <v>1869.7700000000004</v>
      </c>
      <c r="L61" s="40" t="str">
        <f t="shared" si="3"/>
        <v>Yes</v>
      </c>
      <c r="M61" s="6">
        <f>1/6.73</f>
        <v>0.14858841010401189</v>
      </c>
      <c r="N61" s="6">
        <f>1/6.55</f>
        <v>0.15267175572519084</v>
      </c>
      <c r="O61" s="42">
        <f t="shared" si="4"/>
        <v>4.0000000000000036E-3</v>
      </c>
      <c r="P61" s="6">
        <f>1/6.35</f>
        <v>0.15748031496062992</v>
      </c>
      <c r="Q61" s="6">
        <f>1/6.45</f>
        <v>0.15503875968992248</v>
      </c>
      <c r="R61" s="42">
        <f t="shared" si="5"/>
        <v>-2.0000000000000018E-3</v>
      </c>
      <c r="S61" s="44" t="str">
        <f t="shared" si="0"/>
        <v>Yes</v>
      </c>
      <c r="T61" s="2"/>
      <c r="U61" s="2"/>
      <c r="V61" s="2"/>
      <c r="W61" s="2"/>
      <c r="X61" s="2"/>
      <c r="Y61" s="2"/>
    </row>
    <row r="62" spans="1:25">
      <c r="A62" s="1">
        <v>231038000307</v>
      </c>
      <c r="B62" s="10" t="s">
        <v>124</v>
      </c>
      <c r="C62" s="10" t="s">
        <v>126</v>
      </c>
      <c r="D62" s="5" t="s">
        <v>73</v>
      </c>
      <c r="E62" s="2" t="s">
        <v>22</v>
      </c>
      <c r="F62" s="27">
        <v>15469.05</v>
      </c>
      <c r="G62" s="27">
        <v>16607.849999999999</v>
      </c>
      <c r="H62" s="34">
        <f t="shared" si="1"/>
        <v>1138.7999999999993</v>
      </c>
      <c r="I62" s="37">
        <v>13489.41</v>
      </c>
      <c r="J62" s="37">
        <v>15359.18</v>
      </c>
      <c r="K62" s="34">
        <f t="shared" si="2"/>
        <v>1869.7700000000004</v>
      </c>
      <c r="L62" s="40" t="str">
        <f t="shared" si="3"/>
        <v>Yes</v>
      </c>
      <c r="M62" s="6">
        <f>1/5.27</f>
        <v>0.18975332068311196</v>
      </c>
      <c r="N62" s="6">
        <f>1/5.12</f>
        <v>0.1953125</v>
      </c>
      <c r="O62" s="42">
        <f t="shared" si="4"/>
        <v>5.0000000000000044E-3</v>
      </c>
      <c r="P62" s="6">
        <f>1/6.35</f>
        <v>0.15748031496062992</v>
      </c>
      <c r="Q62" s="6">
        <f>1/6.45</f>
        <v>0.15503875968992248</v>
      </c>
      <c r="R62" s="42">
        <f t="shared" si="5"/>
        <v>-2.0000000000000018E-3</v>
      </c>
      <c r="S62" s="44" t="str">
        <f t="shared" si="0"/>
        <v>Yes</v>
      </c>
      <c r="T62" s="2"/>
      <c r="U62" s="2"/>
      <c r="V62" s="2"/>
      <c r="W62" s="2"/>
      <c r="X62" s="2"/>
      <c r="Y62" s="2"/>
    </row>
    <row r="63" spans="1:25">
      <c r="A63" s="1">
        <v>231050023177</v>
      </c>
      <c r="B63" s="2" t="s">
        <v>127</v>
      </c>
      <c r="C63" s="2" t="s">
        <v>128</v>
      </c>
      <c r="D63" s="5" t="s">
        <v>61</v>
      </c>
      <c r="E63" s="2" t="s">
        <v>22</v>
      </c>
      <c r="F63" s="27">
        <v>11245.7</v>
      </c>
      <c r="G63" s="27">
        <v>10833.44</v>
      </c>
      <c r="H63" s="34">
        <f t="shared" si="1"/>
        <v>-412.26000000000022</v>
      </c>
      <c r="I63" s="37">
        <v>13328.11</v>
      </c>
      <c r="J63" s="37">
        <v>13166.47</v>
      </c>
      <c r="K63" s="34">
        <f t="shared" si="2"/>
        <v>-161.64000000000124</v>
      </c>
      <c r="L63" s="40" t="str">
        <f t="shared" si="3"/>
        <v>No</v>
      </c>
      <c r="M63" s="6">
        <f>1/14</f>
        <v>7.1428571428571425E-2</v>
      </c>
      <c r="N63" s="6">
        <f>1/13</f>
        <v>7.6923076923076927E-2</v>
      </c>
      <c r="O63" s="42">
        <f t="shared" si="4"/>
        <v>6.0000000000000053E-3</v>
      </c>
      <c r="P63" s="6">
        <f>1/11</f>
        <v>9.0909090909090912E-2</v>
      </c>
      <c r="Q63" s="6">
        <f>1/10</f>
        <v>0.1</v>
      </c>
      <c r="R63" s="42">
        <f t="shared" si="5"/>
        <v>9.000000000000008E-3</v>
      </c>
      <c r="S63" s="44" t="str">
        <f t="shared" si="0"/>
        <v>Yes</v>
      </c>
      <c r="T63" s="2"/>
      <c r="U63" s="2"/>
      <c r="V63" s="2"/>
      <c r="W63" s="2"/>
      <c r="X63" s="2"/>
      <c r="Y63" s="2"/>
    </row>
    <row r="64" spans="1:25">
      <c r="A64" s="20">
        <v>231050023143</v>
      </c>
      <c r="B64" s="23" t="s">
        <v>127</v>
      </c>
      <c r="C64" s="23" t="s">
        <v>129</v>
      </c>
      <c r="D64" s="22" t="s">
        <v>63</v>
      </c>
      <c r="E64" s="23" t="s">
        <v>22</v>
      </c>
      <c r="F64" s="29">
        <v>16690.330000000002</v>
      </c>
      <c r="G64" s="29">
        <v>15222.63</v>
      </c>
      <c r="H64" s="34">
        <f t="shared" si="1"/>
        <v>-1467.7000000000025</v>
      </c>
      <c r="I64" s="39">
        <v>13328.11</v>
      </c>
      <c r="J64" s="39">
        <v>13166.47</v>
      </c>
      <c r="K64" s="34">
        <f t="shared" si="2"/>
        <v>-161.64000000000124</v>
      </c>
      <c r="L64" s="40" t="str">
        <f t="shared" si="3"/>
        <v>No</v>
      </c>
      <c r="M64" s="24">
        <f>1/9</f>
        <v>0.1111111111111111</v>
      </c>
      <c r="N64" s="24">
        <f>1/9</f>
        <v>0.1111111111111111</v>
      </c>
      <c r="O64" s="42">
        <f t="shared" si="4"/>
        <v>0</v>
      </c>
      <c r="P64" s="24">
        <f>1/11</f>
        <v>9.0909090909090912E-2</v>
      </c>
      <c r="Q64" s="24">
        <f>1/10</f>
        <v>0.1</v>
      </c>
      <c r="R64" s="42">
        <f t="shared" si="5"/>
        <v>9.000000000000008E-3</v>
      </c>
      <c r="S64" s="44" t="str">
        <f t="shared" si="0"/>
        <v>Yes</v>
      </c>
      <c r="T64" s="2"/>
      <c r="U64" s="2"/>
      <c r="V64" s="2"/>
      <c r="W64" s="2"/>
      <c r="X64" s="2"/>
      <c r="Y64" s="2"/>
    </row>
    <row r="65" spans="1:19">
      <c r="A65" s="1">
        <v>231053000326</v>
      </c>
      <c r="B65" s="2" t="s">
        <v>130</v>
      </c>
      <c r="C65" s="2" t="s">
        <v>131</v>
      </c>
      <c r="D65" s="5" t="s">
        <v>43</v>
      </c>
      <c r="E65" s="2" t="s">
        <v>22</v>
      </c>
      <c r="F65" s="27">
        <v>16243.16</v>
      </c>
      <c r="G65" s="27">
        <v>17091.8</v>
      </c>
      <c r="H65" s="34">
        <f t="shared" si="1"/>
        <v>848.63999999999942</v>
      </c>
      <c r="I65" s="37">
        <v>16742.759999999998</v>
      </c>
      <c r="J65" s="37">
        <v>17454.099999999999</v>
      </c>
      <c r="K65" s="34">
        <f t="shared" si="2"/>
        <v>711.34000000000015</v>
      </c>
      <c r="L65" s="40" t="str">
        <f t="shared" si="3"/>
        <v>Yes</v>
      </c>
      <c r="M65" s="6">
        <f>1/7</f>
        <v>0.14285714285714285</v>
      </c>
      <c r="N65" s="6">
        <f>1/6.5</f>
        <v>0.15384615384615385</v>
      </c>
      <c r="O65" s="42">
        <f t="shared" si="4"/>
        <v>1.100000000000001E-2</v>
      </c>
      <c r="P65" s="6">
        <f>1/6.2</f>
        <v>0.16129032258064516</v>
      </c>
      <c r="Q65" s="6">
        <f>1/6.2</f>
        <v>0.16129032258064516</v>
      </c>
      <c r="R65" s="42">
        <f t="shared" si="5"/>
        <v>0</v>
      </c>
      <c r="S65" s="44" t="str">
        <f t="shared" si="0"/>
        <v>Yes</v>
      </c>
    </row>
    <row r="66" spans="1:19">
      <c r="A66" s="1">
        <v>231053000325</v>
      </c>
      <c r="B66" s="2" t="s">
        <v>130</v>
      </c>
      <c r="C66" s="2" t="s">
        <v>132</v>
      </c>
      <c r="D66" s="5" t="s">
        <v>31</v>
      </c>
      <c r="E66" s="2" t="s">
        <v>22</v>
      </c>
      <c r="F66" s="27">
        <v>16655.57</v>
      </c>
      <c r="G66" s="27">
        <v>17818.990000000002</v>
      </c>
      <c r="H66" s="34">
        <f t="shared" si="1"/>
        <v>1163.4200000000019</v>
      </c>
      <c r="I66" s="37">
        <v>16742.759999999998</v>
      </c>
      <c r="J66" s="37">
        <v>17454.099999999999</v>
      </c>
      <c r="K66" s="34">
        <f t="shared" si="2"/>
        <v>711.34000000000015</v>
      </c>
      <c r="L66" s="40" t="str">
        <f t="shared" ref="L66:L68" si="8">IF(AND(H66&lt;0,K66&gt;H66),"No","Yes")</f>
        <v>Yes</v>
      </c>
      <c r="M66" s="6">
        <f>1/6.7</f>
        <v>0.14925373134328357</v>
      </c>
      <c r="N66" s="6">
        <f>1/6.6</f>
        <v>0.15151515151515152</v>
      </c>
      <c r="O66" s="42">
        <f t="shared" si="4"/>
        <v>3.0000000000000027E-3</v>
      </c>
      <c r="P66" s="6">
        <f>1/6.2</f>
        <v>0.16129032258064516</v>
      </c>
      <c r="Q66" s="6">
        <f>1/6.2</f>
        <v>0.16129032258064516</v>
      </c>
      <c r="R66" s="42">
        <f t="shared" si="5"/>
        <v>0</v>
      </c>
      <c r="S66" s="44" t="str">
        <f t="shared" ref="S66:S68" si="9">IF(AND(O66&lt;0,R66&gt;O66),"No","Yes")</f>
        <v>Yes</v>
      </c>
    </row>
    <row r="67" spans="1:19">
      <c r="A67" s="1">
        <v>231356000618</v>
      </c>
      <c r="B67" s="2" t="s">
        <v>133</v>
      </c>
      <c r="C67" s="2" t="s">
        <v>134</v>
      </c>
      <c r="D67" s="5" t="s">
        <v>63</v>
      </c>
      <c r="E67" s="2" t="s">
        <v>22</v>
      </c>
      <c r="F67" s="27">
        <v>13570.71</v>
      </c>
      <c r="G67" s="27">
        <v>14707.13</v>
      </c>
      <c r="H67" s="34">
        <f t="shared" ref="H67:H68" si="10">G67-F67</f>
        <v>1136.42</v>
      </c>
      <c r="I67" s="37">
        <v>11446.67</v>
      </c>
      <c r="J67" s="37">
        <v>11802.79</v>
      </c>
      <c r="K67" s="34">
        <f t="shared" ref="K67:K68" si="11">J67-I67</f>
        <v>356.1200000000008</v>
      </c>
      <c r="L67" s="40" t="str">
        <f t="shared" si="8"/>
        <v>Yes</v>
      </c>
      <c r="M67" s="6">
        <f>1/5.76</f>
        <v>0.1736111111111111</v>
      </c>
      <c r="N67" s="6">
        <f>1/5.69</f>
        <v>0.17574692442882248</v>
      </c>
      <c r="O67" s="42">
        <f t="shared" ref="O67:O68" si="12">ROUND(N67,3)-ROUND(M67,3)</f>
        <v>2.0000000000000018E-3</v>
      </c>
      <c r="P67" s="6">
        <f>1/6.91</f>
        <v>0.14471780028943559</v>
      </c>
      <c r="Q67" s="6">
        <f>1/6.94</f>
        <v>0.14409221902017291</v>
      </c>
      <c r="R67" s="42">
        <f t="shared" ref="R67:R68" si="13">ROUND(Q67,3)-ROUND(P67,3)</f>
        <v>-1.0000000000000009E-3</v>
      </c>
      <c r="S67" s="44" t="str">
        <f t="shared" si="9"/>
        <v>Yes</v>
      </c>
    </row>
    <row r="68" spans="1:19">
      <c r="A68" s="20">
        <v>231356000621</v>
      </c>
      <c r="B68" s="21" t="s">
        <v>133</v>
      </c>
      <c r="C68" s="21" t="s">
        <v>135</v>
      </c>
      <c r="D68" s="22" t="s">
        <v>63</v>
      </c>
      <c r="E68" s="23" t="s">
        <v>22</v>
      </c>
      <c r="F68" s="29">
        <v>11238.66</v>
      </c>
      <c r="G68" s="29">
        <v>11563.99</v>
      </c>
      <c r="H68" s="34">
        <f t="shared" si="10"/>
        <v>325.32999999999993</v>
      </c>
      <c r="I68" s="39">
        <v>11446.67</v>
      </c>
      <c r="J68" s="39">
        <v>11802.79</v>
      </c>
      <c r="K68" s="34">
        <f t="shared" si="11"/>
        <v>356.1200000000008</v>
      </c>
      <c r="L68" s="40" t="str">
        <f t="shared" si="8"/>
        <v>Yes</v>
      </c>
      <c r="M68" s="24">
        <f>1/6.9</f>
        <v>0.14492753623188406</v>
      </c>
      <c r="N68" s="24">
        <f>1/6.53</f>
        <v>0.15313935681470137</v>
      </c>
      <c r="O68" s="42">
        <f t="shared" si="12"/>
        <v>8.0000000000000071E-3</v>
      </c>
      <c r="P68" s="24">
        <f>1/6.91</f>
        <v>0.14471780028943559</v>
      </c>
      <c r="Q68" s="24">
        <f>1/6.94</f>
        <v>0.14409221902017291</v>
      </c>
      <c r="R68" s="42">
        <f t="shared" si="13"/>
        <v>-1.0000000000000009E-3</v>
      </c>
      <c r="S68" s="44" t="str">
        <f t="shared" si="9"/>
        <v>Yes</v>
      </c>
    </row>
  </sheetData>
  <pageMargins left="0.7" right="0.7" top="1.9895833333333333" bottom="0.75" header="0.3" footer="0.3"/>
  <pageSetup scale="80" orientation="portrait"/>
  <headerFooter>
    <oddHeader xml:space="preserve">&amp;CMaine Department of Education 
Maintance of Equity
FY2021 and FY 2022
Blah Blah *two tabs one district one for grade
</oddHead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F6321-D262-4FD4-91A7-2706F9F1DC08}">
  <sheetPr>
    <tabColor rgb="FFC00000"/>
  </sheetPr>
  <dimension ref="A1:Y17"/>
  <sheetViews>
    <sheetView zoomScale="71" zoomScaleNormal="71" workbookViewId="0">
      <pane ySplit="1" topLeftCell="A8" activePane="bottomLeft" state="frozen"/>
      <selection pane="bottomLeft" activeCell="A12" sqref="A12:S15"/>
      <selection activeCell="I1" sqref="I1"/>
    </sheetView>
  </sheetViews>
  <sheetFormatPr defaultColWidth="12.7109375" defaultRowHeight="15"/>
  <cols>
    <col min="1" max="1" width="18.85546875" style="4" customWidth="1"/>
    <col min="2" max="2" width="22.140625" style="2" bestFit="1" customWidth="1"/>
    <col min="3" max="3" width="33.7109375" style="8" customWidth="1"/>
    <col min="4" max="4" width="12.7109375" style="5"/>
    <col min="5" max="5" width="12.7109375" style="2"/>
    <col min="6" max="6" width="12.7109375" style="27"/>
    <col min="7" max="7" width="12.7109375" style="30"/>
    <col min="8" max="8" width="12.7109375" style="27"/>
    <col min="9" max="9" width="16.42578125" style="30" bestFit="1" customWidth="1"/>
    <col min="10" max="10" width="22.28515625" style="27" bestFit="1" customWidth="1"/>
    <col min="11" max="11" width="15" style="27" bestFit="1" customWidth="1"/>
    <col min="12" max="12" width="12.7109375" style="33"/>
    <col min="13" max="15" width="12.7109375" style="6"/>
    <col min="16" max="16" width="16.42578125" style="6" bestFit="1" customWidth="1"/>
    <col min="17" max="17" width="22.28515625" style="6" bestFit="1" customWidth="1"/>
    <col min="18" max="18" width="15" style="6" bestFit="1" customWidth="1"/>
    <col min="19" max="19" width="12.7109375" style="2"/>
    <col min="20" max="16384" width="12.7109375" style="8"/>
  </cols>
  <sheetData>
    <row r="1" spans="1:25" s="11" customFormat="1" ht="75">
      <c r="A1" s="15" t="s">
        <v>0</v>
      </c>
      <c r="B1" s="16" t="s">
        <v>1</v>
      </c>
      <c r="C1" s="16" t="s">
        <v>2</v>
      </c>
      <c r="D1" s="17" t="s">
        <v>3</v>
      </c>
      <c r="E1" s="16" t="s">
        <v>4</v>
      </c>
      <c r="F1" s="26" t="s">
        <v>136</v>
      </c>
      <c r="G1" s="26" t="s">
        <v>137</v>
      </c>
      <c r="H1" s="26" t="s">
        <v>138</v>
      </c>
      <c r="I1" s="26" t="s">
        <v>139</v>
      </c>
      <c r="J1" s="26" t="s">
        <v>140</v>
      </c>
      <c r="K1" s="26" t="s">
        <v>141</v>
      </c>
      <c r="L1" s="32" t="s">
        <v>11</v>
      </c>
      <c r="M1" s="31" t="s">
        <v>142</v>
      </c>
      <c r="N1" s="31" t="s">
        <v>143</v>
      </c>
      <c r="O1" s="31" t="s">
        <v>144</v>
      </c>
      <c r="P1" s="18" t="s">
        <v>145</v>
      </c>
      <c r="Q1" s="18" t="s">
        <v>146</v>
      </c>
      <c r="R1" s="18" t="s">
        <v>147</v>
      </c>
      <c r="S1" s="19" t="s">
        <v>18</v>
      </c>
    </row>
    <row r="2" spans="1:25" s="3" customFormat="1" ht="14.45" customHeight="1">
      <c r="A2" s="25">
        <v>230261000907</v>
      </c>
      <c r="B2" s="2" t="s">
        <v>148</v>
      </c>
      <c r="C2" s="2" t="s">
        <v>149</v>
      </c>
      <c r="D2" s="5" t="s">
        <v>76</v>
      </c>
      <c r="E2" s="2" t="s">
        <v>22</v>
      </c>
      <c r="F2" s="27">
        <v>10103</v>
      </c>
      <c r="G2" s="27">
        <v>10122</v>
      </c>
      <c r="H2" s="34">
        <f t="shared" ref="H2:H11" si="0">G2-F2</f>
        <v>19</v>
      </c>
      <c r="I2" s="27">
        <v>10103</v>
      </c>
      <c r="J2" s="27">
        <v>10122</v>
      </c>
      <c r="K2" s="34">
        <f t="shared" ref="K2:K11" si="1">J2-I2</f>
        <v>19</v>
      </c>
      <c r="L2" s="40" t="str">
        <f t="shared" ref="L2:L11" si="2">IF(AND(H2&lt;0,K2&gt;H2),"No","Yes")</f>
        <v>Yes</v>
      </c>
      <c r="M2" s="6">
        <f>1/6.8</f>
        <v>0.14705882352941177</v>
      </c>
      <c r="N2" s="6">
        <f>1/7.7</f>
        <v>0.12987012987012986</v>
      </c>
      <c r="O2" s="42">
        <f t="shared" ref="O2:O11" si="3">ROUND(N2,3)-ROUND(M2,3)</f>
        <v>-1.6999999999999987E-2</v>
      </c>
      <c r="P2" s="6">
        <f>1/6.8</f>
        <v>0.14705882352941177</v>
      </c>
      <c r="Q2" s="6">
        <f>1/7.7</f>
        <v>0.12987012987012986</v>
      </c>
      <c r="R2" s="42">
        <f>ROUND(Q2,2)-ROUND(P2,2)</f>
        <v>-1.999999999999999E-2</v>
      </c>
      <c r="S2" s="44" t="str">
        <f t="shared" ref="S2:S11" si="4">IF(AND(O2&lt;0,R2&gt;O2),"No","Yes")</f>
        <v>Yes</v>
      </c>
      <c r="T2" s="8"/>
      <c r="U2" s="8"/>
      <c r="V2" s="8"/>
      <c r="W2" s="8"/>
      <c r="X2" s="8"/>
      <c r="Y2" s="8"/>
    </row>
    <row r="3" spans="1:25" s="3" customFormat="1">
      <c r="A3" s="1">
        <v>230261000013</v>
      </c>
      <c r="B3" s="2" t="s">
        <v>148</v>
      </c>
      <c r="C3" s="2" t="s">
        <v>150</v>
      </c>
      <c r="D3" s="5" t="s">
        <v>31</v>
      </c>
      <c r="E3" s="2" t="s">
        <v>22</v>
      </c>
      <c r="F3" s="27">
        <v>10675</v>
      </c>
      <c r="G3" s="27">
        <v>11185</v>
      </c>
      <c r="H3" s="34">
        <f t="shared" si="0"/>
        <v>510</v>
      </c>
      <c r="I3" s="27">
        <v>10675</v>
      </c>
      <c r="J3" s="27">
        <v>11185</v>
      </c>
      <c r="K3" s="34">
        <f t="shared" si="1"/>
        <v>510</v>
      </c>
      <c r="L3" s="40" t="str">
        <f t="shared" si="2"/>
        <v>Yes</v>
      </c>
      <c r="M3" s="6">
        <f>1/7.2</f>
        <v>0.1388888888888889</v>
      </c>
      <c r="N3" s="6">
        <f>1/6.9</f>
        <v>0.14492753623188406</v>
      </c>
      <c r="O3" s="42">
        <f t="shared" si="3"/>
        <v>5.9999999999999776E-3</v>
      </c>
      <c r="P3" s="6">
        <f>1/7.2</f>
        <v>0.1388888888888889</v>
      </c>
      <c r="Q3" s="6">
        <f>1/6.9</f>
        <v>0.14492753623188406</v>
      </c>
      <c r="R3" s="42">
        <f>ROUND(Q3,2)-ROUND(P3,2)</f>
        <v>0</v>
      </c>
      <c r="S3" s="44" t="str">
        <f t="shared" si="4"/>
        <v>Yes</v>
      </c>
      <c r="T3" s="8"/>
      <c r="U3" s="8"/>
      <c r="V3" s="8"/>
      <c r="W3" s="8"/>
      <c r="X3" s="8"/>
      <c r="Y3" s="8"/>
    </row>
    <row r="4" spans="1:25" s="3" customFormat="1">
      <c r="A4" s="1">
        <v>230261000020</v>
      </c>
      <c r="B4" s="2" t="s">
        <v>148</v>
      </c>
      <c r="C4" s="2" t="s">
        <v>151</v>
      </c>
      <c r="D4" s="5" t="s">
        <v>24</v>
      </c>
      <c r="E4" s="2" t="s">
        <v>22</v>
      </c>
      <c r="F4" s="27">
        <v>10994</v>
      </c>
      <c r="G4" s="27">
        <v>12318</v>
      </c>
      <c r="H4" s="34">
        <f t="shared" si="0"/>
        <v>1324</v>
      </c>
      <c r="I4" s="27">
        <v>10288</v>
      </c>
      <c r="J4" s="27">
        <v>10892</v>
      </c>
      <c r="K4" s="34">
        <f t="shared" si="1"/>
        <v>604</v>
      </c>
      <c r="L4" s="40" t="str">
        <f t="shared" si="2"/>
        <v>Yes</v>
      </c>
      <c r="M4" s="6">
        <f>1/5.7</f>
        <v>0.17543859649122806</v>
      </c>
      <c r="N4" s="6">
        <f>1/5.6</f>
        <v>0.17857142857142858</v>
      </c>
      <c r="O4" s="42">
        <f t="shared" si="3"/>
        <v>4.0000000000000036E-3</v>
      </c>
      <c r="P4" s="6">
        <f>1/7.1</f>
        <v>0.14084507042253522</v>
      </c>
      <c r="Q4" s="6">
        <f>1/6.5</f>
        <v>0.15384615384615385</v>
      </c>
      <c r="R4" s="42">
        <f>ROUND(Q4,2)-ROUND(P4,2)</f>
        <v>9.9999999999999811E-3</v>
      </c>
      <c r="S4" s="44" t="str">
        <f t="shared" si="4"/>
        <v>Yes</v>
      </c>
      <c r="T4" s="8"/>
      <c r="U4" s="8"/>
      <c r="V4" s="8"/>
      <c r="W4" s="8"/>
      <c r="X4" s="8"/>
      <c r="Y4" s="8"/>
    </row>
    <row r="5" spans="1:25" s="3" customFormat="1">
      <c r="A5" s="1">
        <v>230261000021</v>
      </c>
      <c r="B5" s="2" t="s">
        <v>148</v>
      </c>
      <c r="C5" s="2" t="s">
        <v>152</v>
      </c>
      <c r="D5" s="5" t="s">
        <v>153</v>
      </c>
      <c r="E5" s="2" t="s">
        <v>22</v>
      </c>
      <c r="F5" s="27">
        <v>9166</v>
      </c>
      <c r="G5" s="27">
        <v>9420</v>
      </c>
      <c r="H5" s="34">
        <f t="shared" si="0"/>
        <v>254</v>
      </c>
      <c r="I5" s="27">
        <v>10288</v>
      </c>
      <c r="J5" s="27">
        <v>10892</v>
      </c>
      <c r="K5" s="34">
        <f t="shared" si="1"/>
        <v>604</v>
      </c>
      <c r="L5" s="40" t="str">
        <f t="shared" si="2"/>
        <v>Yes</v>
      </c>
      <c r="M5" s="6">
        <f>1/7.6</f>
        <v>0.13157894736842105</v>
      </c>
      <c r="N5" s="6">
        <f>1/6.4</f>
        <v>0.15625</v>
      </c>
      <c r="O5" s="42">
        <f t="shared" si="3"/>
        <v>2.3999999999999994E-2</v>
      </c>
      <c r="P5" s="6">
        <f>1/7.1</f>
        <v>0.14084507042253522</v>
      </c>
      <c r="Q5" s="6">
        <f>1/6.5</f>
        <v>0.15384615384615385</v>
      </c>
      <c r="R5" s="42">
        <f>ROUND(Q5,2)-ROUND(P5,2)</f>
        <v>9.9999999999999811E-3</v>
      </c>
      <c r="S5" s="44" t="str">
        <f t="shared" si="4"/>
        <v>Yes</v>
      </c>
      <c r="T5" s="8"/>
      <c r="U5" s="8"/>
      <c r="V5" s="8"/>
      <c r="W5" s="8"/>
      <c r="X5" s="8"/>
      <c r="Y5" s="8"/>
    </row>
    <row r="6" spans="1:25" s="3" customFormat="1">
      <c r="A6" s="1">
        <v>230282000047</v>
      </c>
      <c r="B6" s="2" t="s">
        <v>154</v>
      </c>
      <c r="C6" s="2" t="s">
        <v>155</v>
      </c>
      <c r="D6" s="5" t="s">
        <v>31</v>
      </c>
      <c r="E6" s="2" t="s">
        <v>22</v>
      </c>
      <c r="F6" s="27">
        <v>11724.39</v>
      </c>
      <c r="G6" s="27">
        <v>12682.99</v>
      </c>
      <c r="H6" s="34">
        <f t="shared" si="0"/>
        <v>958.60000000000036</v>
      </c>
      <c r="I6" s="27">
        <v>11724.39</v>
      </c>
      <c r="J6" s="27">
        <v>12682.99</v>
      </c>
      <c r="K6" s="34">
        <f t="shared" si="1"/>
        <v>958.60000000000036</v>
      </c>
      <c r="L6" s="40" t="str">
        <f t="shared" si="2"/>
        <v>Yes</v>
      </c>
      <c r="M6" s="6">
        <f>1/7.2</f>
        <v>0.1388888888888889</v>
      </c>
      <c r="N6" s="6">
        <f>1/7.2</f>
        <v>0.1388888888888889</v>
      </c>
      <c r="O6" s="42">
        <f t="shared" si="3"/>
        <v>0</v>
      </c>
      <c r="P6" s="6">
        <f>1/7.2</f>
        <v>0.1388888888888889</v>
      </c>
      <c r="Q6" s="6">
        <f>1/7.17</f>
        <v>0.1394700139470014</v>
      </c>
      <c r="R6" s="42">
        <f t="shared" ref="R6:R11" si="5">ROUND(Q6,3)-ROUND(P6,3)</f>
        <v>0</v>
      </c>
      <c r="S6" s="44" t="str">
        <f t="shared" si="4"/>
        <v>Yes</v>
      </c>
      <c r="T6" s="8"/>
      <c r="U6" s="8"/>
      <c r="V6" s="8"/>
      <c r="W6" s="8"/>
      <c r="X6" s="8"/>
      <c r="Y6" s="8"/>
    </row>
    <row r="7" spans="1:25" s="3" customFormat="1">
      <c r="A7" s="1">
        <v>230282000049</v>
      </c>
      <c r="B7" s="2" t="s">
        <v>154</v>
      </c>
      <c r="C7" s="2" t="s">
        <v>156</v>
      </c>
      <c r="D7" s="5" t="s">
        <v>157</v>
      </c>
      <c r="E7" s="2" t="s">
        <v>22</v>
      </c>
      <c r="F7" s="27">
        <v>15651.28</v>
      </c>
      <c r="G7" s="27">
        <v>14353.02</v>
      </c>
      <c r="H7" s="34">
        <f t="shared" si="0"/>
        <v>-1298.2600000000002</v>
      </c>
      <c r="I7" s="27">
        <v>14959.75</v>
      </c>
      <c r="J7" s="27">
        <v>14970.58</v>
      </c>
      <c r="K7" s="34">
        <f t="shared" si="1"/>
        <v>10.829999999999927</v>
      </c>
      <c r="L7" s="40" t="str">
        <f t="shared" si="2"/>
        <v>No</v>
      </c>
      <c r="M7" s="6">
        <f>1/4.52</f>
        <v>0.22123893805309736</v>
      </c>
      <c r="N7" s="6">
        <f>1/5.39</f>
        <v>0.1855287569573284</v>
      </c>
      <c r="O7" s="42">
        <f t="shared" si="3"/>
        <v>-3.5000000000000003E-2</v>
      </c>
      <c r="P7" s="6">
        <f>1/5.42</f>
        <v>0.18450184501845018</v>
      </c>
      <c r="Q7" s="6">
        <f>1/5.62</f>
        <v>0.17793594306049823</v>
      </c>
      <c r="R7" s="42">
        <f t="shared" si="5"/>
        <v>-7.0000000000000062E-3</v>
      </c>
      <c r="S7" s="44" t="str">
        <f t="shared" si="4"/>
        <v>No</v>
      </c>
      <c r="T7" s="8"/>
      <c r="U7" s="8"/>
      <c r="V7" s="8"/>
      <c r="W7" s="8"/>
      <c r="X7" s="8"/>
      <c r="Y7" s="8"/>
    </row>
    <row r="8" spans="1:25" s="3" customFormat="1">
      <c r="A8" s="1">
        <v>230282000051</v>
      </c>
      <c r="B8" s="2" t="s">
        <v>154</v>
      </c>
      <c r="C8" s="2" t="s">
        <v>158</v>
      </c>
      <c r="D8" s="5" t="s">
        <v>43</v>
      </c>
      <c r="E8" s="2" t="s">
        <v>22</v>
      </c>
      <c r="F8" s="27">
        <v>12875.76</v>
      </c>
      <c r="G8" s="27">
        <v>14200</v>
      </c>
      <c r="H8" s="34">
        <f t="shared" si="0"/>
        <v>1324.2399999999998</v>
      </c>
      <c r="I8" s="27">
        <v>13103.74</v>
      </c>
      <c r="J8" s="27">
        <v>14228.32</v>
      </c>
      <c r="K8" s="34">
        <f t="shared" si="1"/>
        <v>1124.58</v>
      </c>
      <c r="L8" s="40" t="str">
        <f t="shared" si="2"/>
        <v>Yes</v>
      </c>
      <c r="M8" s="6">
        <f>1/6.59</f>
        <v>0.15174506828528073</v>
      </c>
      <c r="N8" s="6">
        <f>1/6.19</f>
        <v>0.16155088852988692</v>
      </c>
      <c r="O8" s="42">
        <f t="shared" si="3"/>
        <v>1.0000000000000009E-2</v>
      </c>
      <c r="P8" s="6">
        <f>1/6.39</f>
        <v>0.1564945226917058</v>
      </c>
      <c r="Q8" s="6">
        <f>1/6.19</f>
        <v>0.16155088852988692</v>
      </c>
      <c r="R8" s="42">
        <f t="shared" si="5"/>
        <v>6.0000000000000053E-3</v>
      </c>
      <c r="S8" s="44" t="str">
        <f t="shared" si="4"/>
        <v>Yes</v>
      </c>
      <c r="T8" s="8"/>
      <c r="U8" s="8"/>
      <c r="V8" s="8"/>
      <c r="W8" s="8"/>
      <c r="X8" s="8"/>
      <c r="Y8" s="8"/>
    </row>
    <row r="9" spans="1:25" s="3" customFormat="1" ht="16.149999999999999" customHeight="1">
      <c r="A9" s="1">
        <v>230732023179</v>
      </c>
      <c r="B9" s="2" t="s">
        <v>159</v>
      </c>
      <c r="C9" s="9" t="s">
        <v>160</v>
      </c>
      <c r="D9" s="5" t="s">
        <v>153</v>
      </c>
      <c r="E9" s="2" t="s">
        <v>22</v>
      </c>
      <c r="F9" s="27">
        <v>12654.56</v>
      </c>
      <c r="G9" s="27">
        <v>13678.97</v>
      </c>
      <c r="H9" s="34">
        <f t="shared" si="0"/>
        <v>1024.4099999999999</v>
      </c>
      <c r="I9" s="27">
        <v>13170.39</v>
      </c>
      <c r="J9" s="27">
        <v>14468.07</v>
      </c>
      <c r="K9" s="34">
        <f t="shared" si="1"/>
        <v>1297.6800000000003</v>
      </c>
      <c r="L9" s="40" t="str">
        <f t="shared" si="2"/>
        <v>Yes</v>
      </c>
      <c r="M9" s="6">
        <v>0.14299999999999999</v>
      </c>
      <c r="N9" s="6">
        <v>0.14299999999999999</v>
      </c>
      <c r="O9" s="42">
        <f t="shared" si="3"/>
        <v>0</v>
      </c>
      <c r="P9" s="14">
        <v>0.16700000000000001</v>
      </c>
      <c r="Q9" s="14">
        <v>0.16700000000000001</v>
      </c>
      <c r="R9" s="42">
        <f t="shared" si="5"/>
        <v>0</v>
      </c>
      <c r="S9" s="44" t="str">
        <f t="shared" si="4"/>
        <v>Yes</v>
      </c>
      <c r="T9" s="8"/>
      <c r="U9" s="8"/>
      <c r="V9" s="8"/>
      <c r="W9" s="8"/>
      <c r="X9" s="8"/>
      <c r="Y9" s="8"/>
    </row>
    <row r="10" spans="1:25" s="3" customFormat="1">
      <c r="A10" s="1">
        <v>230732000190</v>
      </c>
      <c r="B10" s="2" t="s">
        <v>159</v>
      </c>
      <c r="C10" s="2" t="s">
        <v>161</v>
      </c>
      <c r="D10" s="5" t="s">
        <v>31</v>
      </c>
      <c r="E10" s="2" t="s">
        <v>22</v>
      </c>
      <c r="F10" s="27">
        <v>10456.629999999999</v>
      </c>
      <c r="G10" s="27">
        <v>12589.39</v>
      </c>
      <c r="H10" s="34">
        <f t="shared" si="0"/>
        <v>2132.7600000000002</v>
      </c>
      <c r="I10" s="27">
        <v>10456.629999999999</v>
      </c>
      <c r="J10" s="27">
        <v>12589.39</v>
      </c>
      <c r="K10" s="34">
        <f t="shared" si="1"/>
        <v>2132.7600000000002</v>
      </c>
      <c r="L10" s="40" t="str">
        <f t="shared" si="2"/>
        <v>Yes</v>
      </c>
      <c r="M10" s="6">
        <v>0.111</v>
      </c>
      <c r="N10" s="6">
        <v>0.111</v>
      </c>
      <c r="O10" s="42">
        <f t="shared" si="3"/>
        <v>0</v>
      </c>
      <c r="P10" s="6">
        <f t="shared" ref="P10:Q10" si="6">1/15</f>
        <v>6.6666666666666666E-2</v>
      </c>
      <c r="Q10" s="6">
        <f t="shared" si="6"/>
        <v>6.6666666666666666E-2</v>
      </c>
      <c r="R10" s="42">
        <f t="shared" si="5"/>
        <v>0</v>
      </c>
      <c r="S10" s="44" t="str">
        <f t="shared" si="4"/>
        <v>Yes</v>
      </c>
      <c r="T10" s="8"/>
      <c r="U10" s="8"/>
      <c r="V10" s="8"/>
      <c r="W10" s="8"/>
      <c r="X10" s="8"/>
      <c r="Y10" s="8"/>
    </row>
    <row r="11" spans="1:25" s="3" customFormat="1" ht="15" customHeight="1">
      <c r="A11" s="1">
        <v>230732000191</v>
      </c>
      <c r="B11" s="2" t="s">
        <v>159</v>
      </c>
      <c r="C11" s="2" t="s">
        <v>162</v>
      </c>
      <c r="D11" s="5" t="s">
        <v>76</v>
      </c>
      <c r="E11" s="2" t="s">
        <v>22</v>
      </c>
      <c r="F11" s="27">
        <v>11457.64</v>
      </c>
      <c r="G11" s="27">
        <v>13382.48</v>
      </c>
      <c r="H11" s="34">
        <f t="shared" si="0"/>
        <v>1924.8400000000001</v>
      </c>
      <c r="I11" s="27">
        <v>11457.64</v>
      </c>
      <c r="J11" s="27">
        <v>13382.48</v>
      </c>
      <c r="K11" s="34">
        <f t="shared" si="1"/>
        <v>1924.8400000000001</v>
      </c>
      <c r="L11" s="40" t="str">
        <f t="shared" si="2"/>
        <v>Yes</v>
      </c>
      <c r="M11" s="6">
        <v>0.14299999999999999</v>
      </c>
      <c r="N11" s="6">
        <v>0.14299999999999999</v>
      </c>
      <c r="O11" s="42">
        <f t="shared" si="3"/>
        <v>0</v>
      </c>
      <c r="P11" s="14">
        <v>0.14299999999999999</v>
      </c>
      <c r="Q11" s="14">
        <v>0.14299999999999999</v>
      </c>
      <c r="R11" s="42">
        <f t="shared" si="5"/>
        <v>0</v>
      </c>
      <c r="S11" s="44" t="str">
        <f t="shared" si="4"/>
        <v>Yes</v>
      </c>
      <c r="T11" s="8"/>
      <c r="U11" s="8"/>
      <c r="V11" s="8"/>
      <c r="W11" s="8"/>
      <c r="X11" s="8"/>
      <c r="Y11" s="8"/>
    </row>
    <row r="12" spans="1:25" s="3" customFormat="1">
      <c r="A12" s="1"/>
      <c r="B12" s="2"/>
      <c r="C12" s="2"/>
      <c r="D12" s="5"/>
      <c r="E12" s="2"/>
      <c r="F12" s="27"/>
      <c r="G12" s="27"/>
      <c r="H12" s="34"/>
      <c r="I12" s="27"/>
      <c r="J12" s="27"/>
      <c r="K12" s="34"/>
      <c r="L12" s="40"/>
      <c r="M12" s="6"/>
      <c r="N12" s="6"/>
      <c r="O12" s="42"/>
      <c r="P12" s="6"/>
      <c r="Q12" s="6"/>
      <c r="R12" s="42"/>
      <c r="S12" s="44"/>
      <c r="T12" s="2"/>
      <c r="U12" s="2"/>
      <c r="V12" s="2"/>
      <c r="W12" s="2"/>
      <c r="X12" s="2"/>
      <c r="Y12" s="2"/>
    </row>
    <row r="13" spans="1:25" s="3" customFormat="1">
      <c r="A13" s="1"/>
      <c r="B13" s="2"/>
      <c r="C13" s="2"/>
      <c r="D13" s="5"/>
      <c r="E13" s="2"/>
      <c r="F13" s="27"/>
      <c r="G13" s="27"/>
      <c r="H13" s="34"/>
      <c r="I13" s="27"/>
      <c r="J13" s="27"/>
      <c r="K13" s="34"/>
      <c r="L13" s="40"/>
      <c r="M13" s="6"/>
      <c r="N13" s="6"/>
      <c r="O13" s="42"/>
      <c r="P13" s="6"/>
      <c r="Q13" s="6"/>
      <c r="R13" s="42"/>
      <c r="S13" s="44"/>
      <c r="T13" s="2"/>
      <c r="U13" s="2"/>
      <c r="V13" s="2"/>
      <c r="W13" s="2"/>
      <c r="X13" s="2"/>
      <c r="Y13" s="2"/>
    </row>
    <row r="14" spans="1:25" s="3" customFormat="1">
      <c r="A14" s="1"/>
      <c r="B14" s="2"/>
      <c r="C14" s="2"/>
      <c r="D14" s="5"/>
      <c r="E14" s="2"/>
      <c r="F14" s="27"/>
      <c r="G14" s="27"/>
      <c r="H14" s="34"/>
      <c r="I14" s="27"/>
      <c r="J14" s="27"/>
      <c r="K14" s="34"/>
      <c r="L14" s="40"/>
      <c r="M14" s="6"/>
      <c r="N14" s="6"/>
      <c r="O14" s="42"/>
      <c r="P14" s="6"/>
      <c r="Q14" s="6"/>
      <c r="R14" s="42"/>
      <c r="S14" s="44"/>
      <c r="T14" s="2"/>
      <c r="U14" s="2"/>
      <c r="V14" s="2"/>
      <c r="W14" s="2"/>
      <c r="X14" s="2"/>
      <c r="Y14" s="2"/>
    </row>
    <row r="15" spans="1:25" s="2" customFormat="1">
      <c r="A15" s="20"/>
      <c r="B15" s="23"/>
      <c r="C15" s="23"/>
      <c r="D15" s="22"/>
      <c r="E15" s="23"/>
      <c r="F15" s="29"/>
      <c r="G15" s="29"/>
      <c r="H15" s="35"/>
      <c r="I15" s="29"/>
      <c r="J15" s="29"/>
      <c r="K15" s="35"/>
      <c r="L15" s="41"/>
      <c r="M15" s="24"/>
      <c r="N15" s="24"/>
      <c r="O15" s="43"/>
      <c r="P15" s="24"/>
      <c r="Q15" s="24"/>
      <c r="R15" s="43"/>
      <c r="S15" s="45"/>
    </row>
    <row r="17" spans="2:3">
      <c r="B17" s="13"/>
      <c r="C17" s="12" t="s">
        <v>163</v>
      </c>
    </row>
  </sheetData>
  <sortState xmlns:xlrd2="http://schemas.microsoft.com/office/spreadsheetml/2017/richdata2" ref="A2:Y15">
    <sortCondition ref="B2:B15"/>
    <sortCondition ref="C2:C15"/>
  </sortState>
  <pageMargins left="0.7" right="0.7" top="1.9895833333333333" bottom="0.75" header="0.3" footer="0.3"/>
  <pageSetup scale="80" orientation="portrait" r:id="rId1"/>
  <headerFooter>
    <oddHeader xml:space="preserve">&amp;CMaine Department of Education 
Maintance of Equity
FY2021 and FY 2022
Blah Blah *two tabs one district one for grade
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e4d829d-fbfb-4b2f-b3ff-512c8664d3e8">
      <UserInfo>
        <DisplayName>Sullivan, Monique</DisplayName>
        <AccountId>56</AccountId>
        <AccountType/>
      </UserInfo>
      <UserInfo>
        <DisplayName>Kusiak, Karen</DisplayName>
        <AccountId>13</AccountId>
        <AccountType/>
      </UserInfo>
    </SharedWithUsers>
    <TaxCatchAll xmlns="8e4d829d-fbfb-4b2f-b3ff-512c8664d3e8" xsi:nil="true"/>
    <lcf76f155ced4ddcb4097134ff3c332f xmlns="d88a5585-8329-475e-b2d5-3ecaed923975">
      <Terms xmlns="http://schemas.microsoft.com/office/infopath/2007/PartnerControls"/>
    </lcf76f155ced4ddcb4097134ff3c332f>
    <Notes xmlns="d88a5585-8329-475e-b2d5-3ecaed923975" xsi:nil="true"/>
    <ie8f5300a76e4615ac8677561665fe8e xmlns="d88a5585-8329-475e-b2d5-3ecaed923975">
      <Terms xmlns="http://schemas.microsoft.com/office/infopath/2007/PartnerControls"/>
    </ie8f5300a76e4615ac8677561665fe8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9A4039A44494392F3C6644174EFD4" ma:contentTypeVersion="18" ma:contentTypeDescription="Create a new document." ma:contentTypeScope="" ma:versionID="5b4168e6780d29acb4fb375952ad5d8f">
  <xsd:schema xmlns:xsd="http://www.w3.org/2001/XMLSchema" xmlns:xs="http://www.w3.org/2001/XMLSchema" xmlns:p="http://schemas.microsoft.com/office/2006/metadata/properties" xmlns:ns2="d88a5585-8329-475e-b2d5-3ecaed923975" xmlns:ns3="8e4d829d-fbfb-4b2f-b3ff-512c8664d3e8" targetNamespace="http://schemas.microsoft.com/office/2006/metadata/properties" ma:root="true" ma:fieldsID="e0a59fbd4270c0c6ec630c1f4ef5d4ae" ns2:_="" ns3:_="">
    <xsd:import namespace="d88a5585-8329-475e-b2d5-3ecaed923975"/>
    <xsd:import namespace="8e4d829d-fbfb-4b2f-b3ff-512c8664d3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Not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ie8f5300a76e4615ac8677561665fe8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a5585-8329-475e-b2d5-3ecaed9239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14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e407dca-7e10-41d8-9780-494ed3966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ie8f5300a76e4615ac8677561665fe8e" ma:index="24" nillable="true" ma:taxonomy="true" ma:internalName="ie8f5300a76e4615ac8677561665fe8e" ma:taxonomyFieldName="Metadata" ma:displayName="Metadata" ma:default="" ma:fieldId="{2e8f5300-a76e-4615-ac86-77561665fe8e}" ma:sspId="8e407dca-7e10-41d8-9780-494ed3966f68" ma:termSetId="548a93fa-6488-4950-9383-a5b0d99809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4d829d-fbfb-4b2f-b3ff-512c8664d3e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01382a6-fd2a-4255-8c6f-25838e23e578}" ma:internalName="TaxCatchAll" ma:showField="CatchAllData" ma:web="8e4d829d-fbfb-4b2f-b3ff-512c8664d3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67EC15-7B5F-46A6-AABA-D0F2382C0956}"/>
</file>

<file path=customXml/itemProps2.xml><?xml version="1.0" encoding="utf-8"?>
<ds:datastoreItem xmlns:ds="http://schemas.openxmlformats.org/officeDocument/2006/customXml" ds:itemID="{2EE44B91-704C-4347-BE2F-877B27B827DB}"/>
</file>

<file path=customXml/itemProps3.xml><?xml version="1.0" encoding="utf-8"?>
<ds:datastoreItem xmlns:ds="http://schemas.openxmlformats.org/officeDocument/2006/customXml" ds:itemID="{557B9BA9-6D42-431B-B098-26A83E3EF7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Department of Education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Ceesay, Virginia</dc:creator>
  <cp:keywords/>
  <dc:description/>
  <cp:lastModifiedBy/>
  <cp:revision/>
  <dcterms:created xsi:type="dcterms:W3CDTF">2022-12-12T14:35:13Z</dcterms:created>
  <dcterms:modified xsi:type="dcterms:W3CDTF">2023-09-01T14:56:58Z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0x010100E199A4039A44494392F3C6644174EFD4</vt:lpwstr>
  </property>
  <property fmtid="{D5CDD505-2E9C-101B-9397-08002B2CF9AE}" pid="3" name="MediaServiceImageTags">
    <vt:lpwstr/>
  </property>
  <property fmtid="{D5CDD505-2E9C-101B-9397-08002B2CF9AE}" pid="4" name="Metadata">
    <vt:lpwstr/>
  </property>
</Properties>
</file>